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defaultThemeVersion="124226"/>
  <xr:revisionPtr revIDLastSave="0" documentId="13_ncr:1_{DE085316-6328-49E9-BFF9-D0A4FBB9F910}" xr6:coauthVersionLast="47" xr6:coauthVersionMax="47" xr10:uidLastSave="{00000000-0000-0000-0000-000000000000}"/>
  <workbookProtection workbookAlgorithmName="SHA-512" workbookHashValue="RA0XXZksbszWryDRoERXL4vRLWhwHMsOCiLzsIrDlMgrAttTB2cOBBpQffH2i5hrmgVVWbvfHvSvp4KG3ZlJrQ==" workbookSaltValue="cIinD/6K4XJec0oqFZ99ng==" workbookSpinCount="100000" lockStructure="1"/>
  <bookViews>
    <workbookView xWindow="-108" yWindow="-108" windowWidth="23256" windowHeight="12456" tabRatio="584" xr2:uid="{00000000-000D-0000-FFFF-FFFF00000000}"/>
  </bookViews>
  <sheets>
    <sheet name="Basic Information" sheetId="5" r:id="rId1"/>
    <sheet name="Income Tax Proforma - Old Schem" sheetId="4" r:id="rId2"/>
    <sheet name="Form 10E - Old Scheme" sheetId="6" r:id="rId3"/>
    <sheet name="Income Tax Proforma - New Schem" sheetId="9" r:id="rId4"/>
    <sheet name="Form 10E - New Scheme" sheetId="10" r:id="rId5"/>
  </sheets>
  <definedNames>
    <definedName name="_xlnm.Print_Area" localSheetId="0">'Basic Information'!$B$2:$BA$37</definedName>
    <definedName name="_xlnm.Print_Area" localSheetId="4">'Form 10E - New Scheme'!$B$1:$AP$105</definedName>
    <definedName name="_xlnm.Print_Area" localSheetId="2">'Form 10E - Old Scheme'!$B$1:$AP$104</definedName>
    <definedName name="_xlnm.Print_Area" localSheetId="3">'Income Tax Proforma - New Schem'!$B$1:$BJ$116</definedName>
    <definedName name="_xlnm.Print_Area" localSheetId="1">'Income Tax Proforma - Old Schem'!$B$1:$BJ$209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111" i="4" l="1"/>
  <c r="BA28" i="4"/>
  <c r="BP88" i="9" l="1"/>
  <c r="BC89" i="9"/>
  <c r="AI93" i="9"/>
  <c r="AI92" i="9"/>
  <c r="BP181" i="4"/>
  <c r="AV52" i="4"/>
  <c r="AI91" i="9"/>
  <c r="R23" i="9"/>
  <c r="R22" i="9"/>
  <c r="R21" i="9"/>
  <c r="R20" i="9"/>
  <c r="R19" i="9"/>
  <c r="AV145" i="4"/>
  <c r="AI90" i="9"/>
  <c r="AI89" i="9"/>
  <c r="O93" i="9"/>
  <c r="O92" i="9"/>
  <c r="O91" i="9"/>
  <c r="O90" i="9"/>
  <c r="O89" i="9"/>
  <c r="AY92" i="6" l="1"/>
  <c r="AX92" i="6"/>
  <c r="AU92" i="6"/>
  <c r="AT92" i="6"/>
  <c r="AY101" i="6"/>
  <c r="AX101" i="6"/>
  <c r="AU101" i="6"/>
  <c r="AT101" i="6"/>
  <c r="AV101" i="6" s="1"/>
  <c r="AW101" i="6" s="1"/>
  <c r="AY100" i="6"/>
  <c r="AX100" i="6"/>
  <c r="AZ100" i="6" s="1"/>
  <c r="BA100" i="6" s="1"/>
  <c r="AU100" i="6"/>
  <c r="AT100" i="6"/>
  <c r="AY99" i="6"/>
  <c r="AX99" i="6"/>
  <c r="AZ99" i="6" s="1"/>
  <c r="BA99" i="6" s="1"/>
  <c r="AU99" i="6"/>
  <c r="AT99" i="6"/>
  <c r="AY98" i="6"/>
  <c r="AX98" i="6"/>
  <c r="AZ98" i="6" s="1"/>
  <c r="BA98" i="6" s="1"/>
  <c r="AU98" i="6"/>
  <c r="AT98" i="6"/>
  <c r="AV98" i="6" s="1"/>
  <c r="AW98" i="6" s="1"/>
  <c r="AY97" i="6"/>
  <c r="AX97" i="6"/>
  <c r="AZ97" i="6" s="1"/>
  <c r="BA97" i="6" s="1"/>
  <c r="AU97" i="6"/>
  <c r="AT97" i="6"/>
  <c r="AY96" i="6"/>
  <c r="AX96" i="6"/>
  <c r="AZ96" i="6" s="1"/>
  <c r="BA96" i="6" s="1"/>
  <c r="AU96" i="6"/>
  <c r="AT96" i="6"/>
  <c r="AY95" i="6"/>
  <c r="AX95" i="6"/>
  <c r="AZ95" i="6" s="1"/>
  <c r="BA95" i="6" s="1"/>
  <c r="AU95" i="6"/>
  <c r="AT95" i="6"/>
  <c r="AV95" i="6" s="1"/>
  <c r="AW95" i="6" s="1"/>
  <c r="AY94" i="6"/>
  <c r="AX94" i="6"/>
  <c r="AZ94" i="6" s="1"/>
  <c r="BA94" i="6" s="1"/>
  <c r="AU94" i="6"/>
  <c r="AT94" i="6"/>
  <c r="AY93" i="6"/>
  <c r="AX93" i="6"/>
  <c r="AZ93" i="6" s="1"/>
  <c r="BA93" i="6" s="1"/>
  <c r="AU93" i="6"/>
  <c r="AT93" i="6"/>
  <c r="AV94" i="6" l="1"/>
  <c r="AW94" i="6" s="1"/>
  <c r="AV100" i="6"/>
  <c r="AW100" i="6" s="1"/>
  <c r="AZ101" i="6"/>
  <c r="BA101" i="6" s="1"/>
  <c r="AV93" i="6"/>
  <c r="AW93" i="6" s="1"/>
  <c r="AV96" i="6"/>
  <c r="AW96" i="6" s="1"/>
  <c r="AV99" i="6"/>
  <c r="AW99" i="6" s="1"/>
  <c r="AV97" i="6"/>
  <c r="AW97" i="6" s="1"/>
  <c r="BC91" i="9"/>
  <c r="BP132" i="4" l="1"/>
  <c r="AJ12" i="4"/>
  <c r="AV92" i="6" l="1"/>
  <c r="AW92" i="6" s="1"/>
  <c r="M102" i="6" l="1"/>
  <c r="G102" i="6"/>
  <c r="AJ64" i="9"/>
  <c r="AJ66" i="9" s="1"/>
  <c r="AQ102" i="6" l="1"/>
  <c r="AQ79" i="6"/>
  <c r="BA30" i="9"/>
  <c r="V26" i="9"/>
  <c r="AF16" i="5" l="1"/>
  <c r="BD38" i="5"/>
  <c r="BP143" i="4" l="1"/>
  <c r="BP139" i="4"/>
  <c r="BP134" i="4"/>
  <c r="AV135" i="4"/>
  <c r="AV133" i="4"/>
  <c r="AP12" i="4" l="1"/>
  <c r="AP13" i="4" s="1"/>
  <c r="AP14" i="4" s="1"/>
  <c r="AP15" i="4" s="1"/>
  <c r="AV109" i="4" l="1"/>
  <c r="BL108" i="4" s="1"/>
  <c r="AL14" i="5" l="1"/>
  <c r="AH10" i="5"/>
  <c r="BP42" i="4" l="1"/>
  <c r="AV125" i="4" l="1"/>
  <c r="AV129" i="4" s="1"/>
  <c r="AV127" i="4" l="1"/>
  <c r="BP129" i="4"/>
  <c r="AH30" i="4"/>
  <c r="AV62" i="4" l="1"/>
  <c r="BP40" i="4"/>
  <c r="AV40" i="4"/>
  <c r="BE12" i="4" l="1"/>
  <c r="AZ12" i="4"/>
  <c r="AU12" i="4"/>
  <c r="AP16" i="4"/>
  <c r="AJ13" i="4"/>
  <c r="BP9" i="4"/>
  <c r="AU13" i="4" l="1"/>
  <c r="AU14" i="4" s="1"/>
  <c r="AU15" i="4" s="1"/>
  <c r="AU16" i="4" s="1"/>
  <c r="AU17" i="4" s="1"/>
  <c r="AU18" i="4" s="1"/>
  <c r="AU19" i="4" s="1"/>
  <c r="AU20" i="4" s="1"/>
  <c r="AU21" i="4" s="1"/>
  <c r="AU22" i="4" s="1"/>
  <c r="AU23" i="4" s="1"/>
  <c r="AP17" i="4"/>
  <c r="AP18" i="4" s="1"/>
  <c r="AP19" i="4" s="1"/>
  <c r="AP20" i="4" s="1"/>
  <c r="AP21" i="4" s="1"/>
  <c r="AP22" i="4" s="1"/>
  <c r="AP23" i="4" s="1"/>
  <c r="AP24" i="4"/>
  <c r="AJ14" i="4"/>
  <c r="AJ15" i="4" s="1"/>
  <c r="AJ16" i="4" s="1"/>
  <c r="AJ17" i="4" s="1"/>
  <c r="AJ18" i="4" s="1"/>
  <c r="AJ19" i="4" s="1"/>
  <c r="AJ20" i="4" s="1"/>
  <c r="AJ21" i="4" s="1"/>
  <c r="AJ22" i="4" s="1"/>
  <c r="AJ23" i="4" s="1"/>
  <c r="BE13" i="4"/>
  <c r="BE14" i="4" s="1"/>
  <c r="BE15" i="4" s="1"/>
  <c r="BE16" i="4" s="1"/>
  <c r="BE17" i="4" s="1"/>
  <c r="BE18" i="4" s="1"/>
  <c r="BE19" i="4" s="1"/>
  <c r="BE20" i="4" s="1"/>
  <c r="BE21" i="4" s="1"/>
  <c r="BE22" i="4" s="1"/>
  <c r="BE23" i="4" s="1"/>
  <c r="AZ13" i="4"/>
  <c r="AZ14" i="4" s="1"/>
  <c r="AZ15" i="4" s="1"/>
  <c r="AZ16" i="4" s="1"/>
  <c r="AZ17" i="4" s="1"/>
  <c r="AZ18" i="4" s="1"/>
  <c r="AZ19" i="4" s="1"/>
  <c r="AZ20" i="4" s="1"/>
  <c r="AZ21" i="4" s="1"/>
  <c r="AZ22" i="4" s="1"/>
  <c r="AZ23" i="4" s="1"/>
  <c r="AU24" i="4" l="1"/>
  <c r="AJ83" i="4" s="1"/>
  <c r="BE24" i="4"/>
  <c r="AZ24" i="4"/>
  <c r="AJ24" i="4"/>
  <c r="AJ89" i="4" s="1"/>
  <c r="AJ131" i="4"/>
  <c r="AJ79" i="4"/>
  <c r="BP117" i="4"/>
  <c r="AV117" i="4"/>
  <c r="AV119" i="4" s="1"/>
  <c r="AJ85" i="4"/>
  <c r="S101" i="6"/>
  <c r="S100" i="6"/>
  <c r="S99" i="6"/>
  <c r="S98" i="6"/>
  <c r="S97" i="6"/>
  <c r="S96" i="6"/>
  <c r="S95" i="6"/>
  <c r="S94" i="6"/>
  <c r="S93" i="6"/>
  <c r="S92" i="6"/>
  <c r="S102" i="6" l="1"/>
  <c r="BP118" i="4"/>
  <c r="AV131" i="4"/>
  <c r="AP27" i="6" l="1"/>
  <c r="AQ27" i="6" l="1"/>
  <c r="AH30" i="9"/>
  <c r="AZ30" i="9" l="1"/>
  <c r="AH28" i="4"/>
  <c r="AZ30" i="4"/>
  <c r="AZ28" i="4"/>
  <c r="V30" i="9" l="1"/>
  <c r="V28" i="9"/>
  <c r="BP153" i="4" l="1"/>
  <c r="BP151" i="4"/>
  <c r="BP147" i="4"/>
  <c r="BP145" i="4"/>
  <c r="BP125" i="4"/>
  <c r="BP123" i="4"/>
  <c r="BL58" i="4"/>
  <c r="AK40" i="9" l="1"/>
  <c r="AV40" i="9" s="1"/>
  <c r="AH34" i="9"/>
  <c r="AV42" i="4" l="1"/>
  <c r="AH28" i="9"/>
  <c r="AV151" i="4" l="1"/>
  <c r="AV147" i="4"/>
  <c r="N34" i="9" l="1"/>
  <c r="AZ28" i="9"/>
  <c r="AJ157" i="4" l="1"/>
  <c r="U11" i="6" l="1"/>
  <c r="AQ22" i="6" l="1"/>
  <c r="M101" i="10" l="1"/>
  <c r="G101" i="10"/>
  <c r="S101" i="10" s="1"/>
  <c r="B101" i="10"/>
  <c r="M100" i="10"/>
  <c r="G100" i="10"/>
  <c r="B100" i="10"/>
  <c r="M99" i="10"/>
  <c r="G99" i="10"/>
  <c r="S99" i="10" s="1"/>
  <c r="B99" i="10"/>
  <c r="M98" i="10"/>
  <c r="G98" i="10"/>
  <c r="S98" i="10" s="1"/>
  <c r="B98" i="10"/>
  <c r="M97" i="10"/>
  <c r="G97" i="10"/>
  <c r="S97" i="10" s="1"/>
  <c r="B97" i="10"/>
  <c r="M96" i="10"/>
  <c r="G96" i="10"/>
  <c r="B96" i="10"/>
  <c r="M95" i="10"/>
  <c r="G95" i="10"/>
  <c r="S95" i="10" s="1"/>
  <c r="B95" i="10"/>
  <c r="M94" i="10"/>
  <c r="G94" i="10"/>
  <c r="S94" i="10" s="1"/>
  <c r="B94" i="10"/>
  <c r="M93" i="10"/>
  <c r="G93" i="10"/>
  <c r="B93" i="10"/>
  <c r="B92" i="10"/>
  <c r="G92" i="10"/>
  <c r="M92" i="10"/>
  <c r="U21" i="10"/>
  <c r="U22" i="10"/>
  <c r="U19" i="10"/>
  <c r="U18" i="10"/>
  <c r="U17" i="10"/>
  <c r="U16" i="10"/>
  <c r="U15" i="10"/>
  <c r="U14" i="10"/>
  <c r="U13" i="10"/>
  <c r="AY99" i="10" l="1"/>
  <c r="AU99" i="10"/>
  <c r="AY98" i="10"/>
  <c r="AU98" i="10"/>
  <c r="AY95" i="10"/>
  <c r="AU95" i="10"/>
  <c r="AY100" i="10"/>
  <c r="AU100" i="10"/>
  <c r="M102" i="10"/>
  <c r="AY96" i="10"/>
  <c r="AU96" i="10"/>
  <c r="S96" i="10"/>
  <c r="S100" i="10"/>
  <c r="AY94" i="10"/>
  <c r="AU94" i="10"/>
  <c r="AY93" i="10"/>
  <c r="AU93" i="10"/>
  <c r="AY97" i="10"/>
  <c r="AU97" i="10"/>
  <c r="AY101" i="10"/>
  <c r="AU101" i="10"/>
  <c r="AX101" i="10"/>
  <c r="AX100" i="10"/>
  <c r="AZ100" i="10" s="1"/>
  <c r="BA100" i="10" s="1"/>
  <c r="AX99" i="10"/>
  <c r="AZ99" i="10" s="1"/>
  <c r="BA99" i="10" s="1"/>
  <c r="AX98" i="10"/>
  <c r="AX97" i="10"/>
  <c r="AX96" i="10"/>
  <c r="AX95" i="10"/>
  <c r="AX94" i="10"/>
  <c r="AX93" i="10"/>
  <c r="AT101" i="10"/>
  <c r="AT100" i="10"/>
  <c r="AV100" i="10" s="1"/>
  <c r="AW100" i="10" s="1"/>
  <c r="AT99" i="10"/>
  <c r="AV99" i="10" s="1"/>
  <c r="AW99" i="10" s="1"/>
  <c r="AT98" i="10"/>
  <c r="AV98" i="10" s="1"/>
  <c r="AW98" i="10" s="1"/>
  <c r="AT97" i="10"/>
  <c r="AV97" i="10" s="1"/>
  <c r="AW97" i="10" s="1"/>
  <c r="AT96" i="10"/>
  <c r="AV96" i="10" s="1"/>
  <c r="AW96" i="10" s="1"/>
  <c r="AT95" i="10"/>
  <c r="AT94" i="10"/>
  <c r="AT93" i="10"/>
  <c r="AX92" i="10"/>
  <c r="AU92" i="10"/>
  <c r="AY92" i="10"/>
  <c r="AT92" i="10"/>
  <c r="G102" i="10"/>
  <c r="S93" i="10"/>
  <c r="S92" i="10"/>
  <c r="AQ92" i="10"/>
  <c r="AQ92" i="9"/>
  <c r="AQ91" i="9"/>
  <c r="BC92" i="9"/>
  <c r="AV52" i="9"/>
  <c r="AV58" i="9"/>
  <c r="AV56" i="9"/>
  <c r="AV54" i="9"/>
  <c r="BC34" i="9"/>
  <c r="AP27" i="10" s="1"/>
  <c r="AF27" i="10" s="1"/>
  <c r="AZ94" i="10" l="1"/>
  <c r="BA94" i="10" s="1"/>
  <c r="AV101" i="10"/>
  <c r="AW101" i="10" s="1"/>
  <c r="AZ95" i="10"/>
  <c r="BA95" i="10" s="1"/>
  <c r="AV93" i="10"/>
  <c r="AW93" i="10" s="1"/>
  <c r="S102" i="10"/>
  <c r="AZ101" i="10"/>
  <c r="BA101" i="10" s="1"/>
  <c r="AZ93" i="10"/>
  <c r="BA93" i="10" s="1"/>
  <c r="AZ96" i="10"/>
  <c r="BA96" i="10" s="1"/>
  <c r="AV94" i="10"/>
  <c r="AW94" i="10" s="1"/>
  <c r="AZ97" i="10"/>
  <c r="BA97" i="10" s="1"/>
  <c r="AV95" i="10"/>
  <c r="AW95" i="10" s="1"/>
  <c r="AZ98" i="10"/>
  <c r="BA98" i="10" s="1"/>
  <c r="AQ79" i="10"/>
  <c r="AQ102" i="10"/>
  <c r="BH41" i="5"/>
  <c r="BH42" i="5" s="1"/>
  <c r="BH43" i="5" s="1"/>
  <c r="BG41" i="5"/>
  <c r="BG42" i="5" s="1"/>
  <c r="BG43" i="5" s="1"/>
  <c r="BF41" i="5"/>
  <c r="BF42" i="5" s="1"/>
  <c r="BE41" i="5"/>
  <c r="BE42" i="5" s="1"/>
  <c r="BD41" i="5"/>
  <c r="BC41" i="5"/>
  <c r="BC42" i="5" s="1"/>
  <c r="BC43" i="5" s="1"/>
  <c r="BC44" i="5" s="1"/>
  <c r="BC45" i="5" s="1"/>
  <c r="BC46" i="5" s="1"/>
  <c r="BC47" i="5" s="1"/>
  <c r="BC48" i="5" s="1"/>
  <c r="BC49" i="5" s="1"/>
  <c r="BC50" i="5" s="1"/>
  <c r="BC51" i="5" s="1"/>
  <c r="BC52" i="5" s="1"/>
  <c r="BC53" i="5" s="1"/>
  <c r="BC54" i="5" s="1"/>
  <c r="BC55" i="5" s="1"/>
  <c r="BC56" i="5" s="1"/>
  <c r="BC57" i="5" s="1"/>
  <c r="BC58" i="5" s="1"/>
  <c r="BC59" i="5" s="1"/>
  <c r="BC60" i="5" s="1"/>
  <c r="BC61" i="5" s="1"/>
  <c r="BC62" i="5" s="1"/>
  <c r="BC63" i="5" s="1"/>
  <c r="BC64" i="5" s="1"/>
  <c r="BC65" i="5" s="1"/>
  <c r="BC66" i="5" s="1"/>
  <c r="BC67" i="5" s="1"/>
  <c r="BC68" i="5" s="1"/>
  <c r="BC69" i="5" s="1"/>
  <c r="BC70" i="5" s="1"/>
  <c r="BC71" i="5" s="1"/>
  <c r="BC72" i="5" s="1"/>
  <c r="BC73" i="5" s="1"/>
  <c r="BC74" i="5" s="1"/>
  <c r="BC75" i="5" s="1"/>
  <c r="BC76" i="5" s="1"/>
  <c r="BC77" i="5" s="1"/>
  <c r="BC78" i="5" s="1"/>
  <c r="BC79" i="5" s="1"/>
  <c r="BH38" i="5"/>
  <c r="BG38" i="5"/>
  <c r="BF38" i="5"/>
  <c r="BE38" i="5"/>
  <c r="BC38" i="5"/>
  <c r="BD42" i="5" l="1"/>
  <c r="BD43" i="5" s="1"/>
  <c r="BD44" i="5" s="1"/>
  <c r="BD45" i="5" s="1"/>
  <c r="BD46" i="5" s="1"/>
  <c r="BD47" i="5" s="1"/>
  <c r="BD48" i="5" s="1"/>
  <c r="BD49" i="5" s="1"/>
  <c r="BD50" i="5" s="1"/>
  <c r="BD51" i="5" s="1"/>
  <c r="BD52" i="5" s="1"/>
  <c r="BD53" i="5" s="1"/>
  <c r="BD54" i="5" s="1"/>
  <c r="BD55" i="5" s="1"/>
  <c r="BD56" i="5" s="1"/>
  <c r="BD57" i="5" s="1"/>
  <c r="BD58" i="5" s="1"/>
  <c r="BD59" i="5" s="1"/>
  <c r="BD60" i="5" s="1"/>
  <c r="BD61" i="5" s="1"/>
  <c r="BD62" i="5" s="1"/>
  <c r="BD63" i="5" s="1"/>
  <c r="BD64" i="5" s="1"/>
  <c r="BD65" i="5" s="1"/>
  <c r="BD66" i="5" s="1"/>
  <c r="BD67" i="5" s="1"/>
  <c r="BD68" i="5" s="1"/>
  <c r="BD69" i="5" s="1"/>
  <c r="BD70" i="5" s="1"/>
  <c r="BD71" i="5" s="1"/>
  <c r="BD72" i="5" s="1"/>
  <c r="BD73" i="5" s="1"/>
  <c r="BD74" i="5" s="1"/>
  <c r="BD75" i="5" s="1"/>
  <c r="BD76" i="5" s="1"/>
  <c r="BD77" i="5" s="1"/>
  <c r="BC39" i="5"/>
  <c r="BH44" i="5"/>
  <c r="BH45" i="5" s="1"/>
  <c r="BH46" i="5" s="1"/>
  <c r="BH47" i="5" s="1"/>
  <c r="BG44" i="5"/>
  <c r="BG45" i="5" s="1"/>
  <c r="BG46" i="5" s="1"/>
  <c r="BG47" i="5" s="1"/>
  <c r="BG48" i="5" s="1"/>
  <c r="BG49" i="5" s="1"/>
  <c r="BG50" i="5" s="1"/>
  <c r="BG51" i="5" s="1"/>
  <c r="BG52" i="5" s="1"/>
  <c r="BG53" i="5" s="1"/>
  <c r="BG54" i="5" s="1"/>
  <c r="BF43" i="5"/>
  <c r="BF44" i="5" s="1"/>
  <c r="BF45" i="5" s="1"/>
  <c r="BF46" i="5" s="1"/>
  <c r="BF47" i="5" s="1"/>
  <c r="BF48" i="5" s="1"/>
  <c r="BF49" i="5" s="1"/>
  <c r="BF50" i="5" s="1"/>
  <c r="BF51" i="5" s="1"/>
  <c r="BF52" i="5" s="1"/>
  <c r="BF53" i="5" s="1"/>
  <c r="BF54" i="5" s="1"/>
  <c r="BF55" i="5" s="1"/>
  <c r="BF56" i="5" s="1"/>
  <c r="BF57" i="5" s="1"/>
  <c r="BE43" i="5"/>
  <c r="BE44" i="5" s="1"/>
  <c r="BE45" i="5" s="1"/>
  <c r="BE46" i="5" s="1"/>
  <c r="BE47" i="5" s="1"/>
  <c r="BE48" i="5" s="1"/>
  <c r="BE49" i="5" s="1"/>
  <c r="BE50" i="5" s="1"/>
  <c r="BE51" i="5" s="1"/>
  <c r="BE52" i="5" s="1"/>
  <c r="BE53" i="5" s="1"/>
  <c r="BE54" i="5" s="1"/>
  <c r="BE55" i="5" s="1"/>
  <c r="BE56" i="5" s="1"/>
  <c r="BE57" i="5" s="1"/>
  <c r="BE58" i="5" s="1"/>
  <c r="BE59" i="5" s="1"/>
  <c r="BE60" i="5" s="1"/>
  <c r="BE61" i="5" s="1"/>
  <c r="BE62" i="5" s="1"/>
  <c r="BE63" i="5" s="1"/>
  <c r="BE64" i="5" s="1"/>
  <c r="BE65" i="5" s="1"/>
  <c r="BE66" i="5" s="1"/>
  <c r="BE67" i="5" s="1"/>
  <c r="BE68" i="5" s="1"/>
  <c r="BE69" i="5" s="1"/>
  <c r="BE70" i="5" s="1"/>
  <c r="BE71" i="5" s="1"/>
  <c r="BE72" i="5" s="1"/>
  <c r="BE73" i="5" s="1"/>
  <c r="BD39" i="5" l="1"/>
  <c r="BH39" i="5"/>
  <c r="BE39" i="5"/>
  <c r="BG39" i="5"/>
  <c r="BF39" i="5"/>
  <c r="AV157" i="4" l="1"/>
  <c r="BP157" i="4" s="1"/>
  <c r="H51" i="10"/>
  <c r="H49" i="10"/>
  <c r="U20" i="10"/>
  <c r="U11" i="10"/>
  <c r="H109" i="9"/>
  <c r="H107" i="9"/>
  <c r="H51" i="6"/>
  <c r="H49" i="6"/>
  <c r="U20" i="6"/>
  <c r="BP9" i="9" l="1"/>
  <c r="AQ101" i="6"/>
  <c r="AQ100" i="6"/>
  <c r="AQ99" i="6"/>
  <c r="AQ98" i="6"/>
  <c r="AQ97" i="6"/>
  <c r="AQ96" i="6"/>
  <c r="AQ95" i="6"/>
  <c r="AQ94" i="6"/>
  <c r="AQ93" i="6"/>
  <c r="AQ92" i="6"/>
  <c r="AQ25" i="6"/>
  <c r="Y100" i="6" l="1"/>
  <c r="Y99" i="6"/>
  <c r="Y94" i="6"/>
  <c r="Y98" i="6"/>
  <c r="Y97" i="6"/>
  <c r="Y96" i="6"/>
  <c r="Y95" i="6"/>
  <c r="Y101" i="6"/>
  <c r="AE93" i="6"/>
  <c r="Y93" i="6"/>
  <c r="AE101" i="6"/>
  <c r="AE94" i="6"/>
  <c r="AE97" i="6"/>
  <c r="AE98" i="6"/>
  <c r="AE96" i="6"/>
  <c r="AE99" i="6"/>
  <c r="Y92" i="6"/>
  <c r="AZ92" i="6"/>
  <c r="BA92" i="6" s="1"/>
  <c r="Y102" i="6" l="1"/>
  <c r="AK98" i="6"/>
  <c r="AK101" i="6"/>
  <c r="AK99" i="6"/>
  <c r="AK93" i="6"/>
  <c r="AK97" i="6"/>
  <c r="AK96" i="6"/>
  <c r="AK94" i="6"/>
  <c r="AE95" i="6"/>
  <c r="AE92" i="6"/>
  <c r="AE100" i="6"/>
  <c r="AQ100" i="10"/>
  <c r="AO115" i="9"/>
  <c r="B1" i="9"/>
  <c r="AE102" i="6" l="1"/>
  <c r="AK95" i="6"/>
  <c r="AK92" i="6"/>
  <c r="AK100" i="6"/>
  <c r="Y100" i="10"/>
  <c r="AE100" i="10"/>
  <c r="AK102" i="6" l="1"/>
  <c r="AF76" i="6" s="1"/>
  <c r="AK100" i="10"/>
  <c r="AI99" i="9" l="1"/>
  <c r="BP8" i="9" l="1"/>
  <c r="AQ101" i="10"/>
  <c r="AQ99" i="10"/>
  <c r="AQ98" i="10"/>
  <c r="AQ97" i="10"/>
  <c r="AQ96" i="10"/>
  <c r="AQ95" i="10"/>
  <c r="AQ94" i="10"/>
  <c r="AQ93" i="10"/>
  <c r="AQ25" i="10"/>
  <c r="AQ22" i="10"/>
  <c r="L5" i="9"/>
  <c r="AO107" i="9" s="1"/>
  <c r="L7" i="9"/>
  <c r="BP7" i="9" s="1"/>
  <c r="AN5" i="9"/>
  <c r="Y102" i="9" s="1"/>
  <c r="K12" i="9" l="1"/>
  <c r="K13" i="9" s="1"/>
  <c r="R13" i="9" s="1"/>
  <c r="AO109" i="9"/>
  <c r="D45" i="10"/>
  <c r="M104" i="10" s="1"/>
  <c r="AV92" i="10"/>
  <c r="AW92" i="10" s="1"/>
  <c r="AE94" i="10"/>
  <c r="E99" i="9"/>
  <c r="AO208" i="4"/>
  <c r="B1" i="4"/>
  <c r="Y13" i="9" l="1"/>
  <c r="K14" i="9"/>
  <c r="R14" i="9" s="1"/>
  <c r="Y101" i="10"/>
  <c r="Y99" i="10"/>
  <c r="Y98" i="10"/>
  <c r="Y97" i="10"/>
  <c r="Y96" i="10"/>
  <c r="Y95" i="10"/>
  <c r="Y94" i="10"/>
  <c r="AK94" i="10" s="1"/>
  <c r="Y93" i="10"/>
  <c r="Y92" i="10"/>
  <c r="AE101" i="10"/>
  <c r="AE96" i="10"/>
  <c r="AE97" i="10"/>
  <c r="AE95" i="10"/>
  <c r="AE93" i="10"/>
  <c r="AE99" i="10"/>
  <c r="AZ92" i="10"/>
  <c r="BA92" i="10" s="1"/>
  <c r="Y12" i="9"/>
  <c r="AH7" i="9"/>
  <c r="R12" i="9"/>
  <c r="AE98" i="10"/>
  <c r="Y102" i="10" l="1"/>
  <c r="AK97" i="10"/>
  <c r="AK96" i="10"/>
  <c r="AE92" i="10"/>
  <c r="AE102" i="10" s="1"/>
  <c r="AK101" i="10"/>
  <c r="AK99" i="10"/>
  <c r="AK95" i="10"/>
  <c r="AK93" i="10"/>
  <c r="AF12" i="9"/>
  <c r="AK98" i="10"/>
  <c r="Y14" i="9"/>
  <c r="K15" i="9"/>
  <c r="K16" i="9" l="1"/>
  <c r="R16" i="9" s="1"/>
  <c r="R15" i="9"/>
  <c r="AK92" i="10"/>
  <c r="AF13" i="9"/>
  <c r="AF14" i="9"/>
  <c r="Y15" i="9"/>
  <c r="Y16" i="9" l="1"/>
  <c r="AF16" i="9" s="1"/>
  <c r="K17" i="9"/>
  <c r="R17" i="9" s="1"/>
  <c r="AK102" i="10"/>
  <c r="AF76" i="10" s="1"/>
  <c r="AF15" i="9"/>
  <c r="K18" i="9" l="1"/>
  <c r="Y18" i="9" s="1"/>
  <c r="Y17" i="9"/>
  <c r="AF17" i="9" s="1"/>
  <c r="K19" i="9" l="1"/>
  <c r="R18" i="9"/>
  <c r="AF18" i="9"/>
  <c r="K20" i="9"/>
  <c r="Y19" i="9"/>
  <c r="AF19" i="9" s="1"/>
  <c r="H200" i="4"/>
  <c r="Y20" i="9" l="1"/>
  <c r="AF20" i="9" s="1"/>
  <c r="K21" i="9"/>
  <c r="K22" i="9" l="1"/>
  <c r="Y21" i="9"/>
  <c r="Y22" i="9" l="1"/>
  <c r="AF22" i="9" s="1"/>
  <c r="K23" i="9"/>
  <c r="AF21" i="9"/>
  <c r="R24" i="9" l="1"/>
  <c r="Y23" i="9"/>
  <c r="Y24" i="9" s="1"/>
  <c r="K24" i="9"/>
  <c r="AI192" i="4"/>
  <c r="H202" i="4"/>
  <c r="BP8" i="4"/>
  <c r="K12" i="4" s="1"/>
  <c r="W12" i="4" s="1"/>
  <c r="L7" i="4"/>
  <c r="BP7" i="4" s="1"/>
  <c r="AN5" i="4"/>
  <c r="L5" i="4"/>
  <c r="D45" i="6" s="1"/>
  <c r="M104" i="6" s="1"/>
  <c r="AV64" i="9" l="1"/>
  <c r="AV66" i="9" s="1"/>
  <c r="K13" i="4"/>
  <c r="Q13" i="4" s="1"/>
  <c r="AF23" i="9"/>
  <c r="AF24" i="9" s="1"/>
  <c r="K14" i="4" l="1"/>
  <c r="Q14" i="4" s="1"/>
  <c r="BL63" i="9"/>
  <c r="Q12" i="4"/>
  <c r="AV79" i="4"/>
  <c r="AC12" i="4" l="1"/>
  <c r="W13" i="4"/>
  <c r="AC13" i="4" l="1"/>
  <c r="W14" i="4"/>
  <c r="K15" i="4"/>
  <c r="Q15" i="4" s="1"/>
  <c r="AH7" i="4"/>
  <c r="K16" i="4" l="1"/>
  <c r="Q16" i="4" s="1"/>
  <c r="W15" i="4"/>
  <c r="AC14" i="4"/>
  <c r="AC15" i="4" l="1"/>
  <c r="K17" i="4"/>
  <c r="W16" i="4"/>
  <c r="K18" i="4" l="1"/>
  <c r="Q18" i="4" s="1"/>
  <c r="Q17" i="4"/>
  <c r="AC16" i="4"/>
  <c r="W17" i="4"/>
  <c r="K19" i="4" l="1"/>
  <c r="W18" i="4"/>
  <c r="AC18" i="4" s="1"/>
  <c r="AC17" i="4"/>
  <c r="W19" i="4" l="1"/>
  <c r="Q19" i="4"/>
  <c r="AC19" i="4" s="1"/>
  <c r="K20" i="4"/>
  <c r="Q20" i="4" s="1"/>
  <c r="BP52" i="4"/>
  <c r="BQ52" i="4" s="1"/>
  <c r="BA26" i="4"/>
  <c r="BA26" i="9" s="1"/>
  <c r="AV36" i="9" s="1"/>
  <c r="AV42" i="9" s="1"/>
  <c r="AV46" i="9" s="1"/>
  <c r="K21" i="4" l="1"/>
  <c r="Q21" i="4" s="1"/>
  <c r="W20" i="4"/>
  <c r="AV48" i="9"/>
  <c r="AV60" i="9" s="1"/>
  <c r="AV68" i="9" s="1"/>
  <c r="AC20" i="4"/>
  <c r="K22" i="4"/>
  <c r="Q22" i="4" s="1"/>
  <c r="W21" i="4"/>
  <c r="AV72" i="9" l="1"/>
  <c r="AV74" i="9" s="1"/>
  <c r="AF64" i="10"/>
  <c r="AF62" i="10" s="1"/>
  <c r="BP68" i="9"/>
  <c r="AC21" i="4"/>
  <c r="W22" i="4"/>
  <c r="K23" i="4"/>
  <c r="Q23" i="4" s="1"/>
  <c r="AQ71" i="10" l="1"/>
  <c r="AF66" i="10"/>
  <c r="AR71" i="10"/>
  <c r="BP73" i="9"/>
  <c r="AV76" i="9"/>
  <c r="AV78" i="9" s="1"/>
  <c r="AV80" i="9" s="1"/>
  <c r="W23" i="4"/>
  <c r="W24" i="4" s="1"/>
  <c r="K24" i="4"/>
  <c r="AC22" i="4"/>
  <c r="Q24" i="4"/>
  <c r="AQ69" i="10" l="1"/>
  <c r="AR69" i="10"/>
  <c r="AQ72" i="10"/>
  <c r="BA28" i="9"/>
  <c r="Y24" i="4"/>
  <c r="AC23" i="4"/>
  <c r="Y195" i="4"/>
  <c r="AO202" i="4"/>
  <c r="E192" i="4"/>
  <c r="AO200" i="4"/>
  <c r="AQ70" i="10" l="1"/>
  <c r="AR70" i="10" s="1"/>
  <c r="AR72" i="10"/>
  <c r="AF71" i="10" s="1"/>
  <c r="AC24" i="4"/>
  <c r="AJ107" i="4"/>
  <c r="BR52" i="4"/>
  <c r="BS52" i="4" s="1"/>
  <c r="AV143" i="4"/>
  <c r="AV139" i="4"/>
  <c r="BP141" i="4" s="1"/>
  <c r="AV36" i="4" l="1"/>
  <c r="AJ87" i="4"/>
  <c r="AF69" i="10"/>
  <c r="AF73" i="10" s="1"/>
  <c r="AV141" i="4"/>
  <c r="AV149" i="4" s="1"/>
  <c r="AV111" i="4"/>
  <c r="BL110" i="4" s="1"/>
  <c r="BP126" i="4"/>
  <c r="AJ155" i="4"/>
  <c r="BP155" i="4" s="1"/>
  <c r="AV101" i="4"/>
  <c r="AV99" i="4"/>
  <c r="AV97" i="4"/>
  <c r="AV95" i="4"/>
  <c r="AV93" i="4"/>
  <c r="AV91" i="4"/>
  <c r="AF79" i="10" l="1"/>
  <c r="AV82" i="9" s="1"/>
  <c r="BP148" i="4"/>
  <c r="AV44" i="4"/>
  <c r="BP43" i="4" s="1"/>
  <c r="AV155" i="4"/>
  <c r="AJ81" i="4"/>
  <c r="AV81" i="4" s="1"/>
  <c r="BP78" i="4" s="1"/>
  <c r="B84" i="9" l="1"/>
  <c r="AV84" i="9"/>
  <c r="BQ88" i="9" s="1"/>
  <c r="BR88" i="9" s="1"/>
  <c r="AV46" i="4"/>
  <c r="AV85" i="4"/>
  <c r="AV83" i="4"/>
  <c r="BC90" i="9" l="1"/>
  <c r="AV50" i="4"/>
  <c r="AV54" i="4" s="1"/>
  <c r="AV89" i="4"/>
  <c r="AJ103" i="4" l="1"/>
  <c r="BL103" i="4" s="1"/>
  <c r="AJ159" i="4" l="1"/>
  <c r="AV74" i="4"/>
  <c r="AV153" i="4" s="1"/>
  <c r="AV87" i="4"/>
  <c r="AV103" i="4"/>
  <c r="AV105" i="4" l="1"/>
  <c r="AV107" i="4" s="1"/>
  <c r="AV137" i="4"/>
  <c r="BL145" i="4" l="1"/>
  <c r="BK145" i="4" s="1"/>
  <c r="BL147" i="4"/>
  <c r="BK147" i="4" s="1"/>
  <c r="AV159" i="4" l="1"/>
  <c r="BP159" i="4" s="1"/>
  <c r="AV161" i="4" l="1"/>
  <c r="BP160" i="4" l="1"/>
  <c r="AF62" i="6"/>
  <c r="AF64" i="6"/>
  <c r="AV165" i="4"/>
  <c r="AV167" i="4" s="1"/>
  <c r="AV169" i="4" s="1"/>
  <c r="AV171" i="4" s="1"/>
  <c r="AV173" i="4" s="1"/>
  <c r="AR71" i="6" l="1"/>
  <c r="AQ71" i="6"/>
  <c r="AF66" i="6"/>
  <c r="AQ69" i="6" l="1"/>
  <c r="AR69" i="6"/>
  <c r="AQ72" i="6"/>
  <c r="AR72" i="6" s="1"/>
  <c r="AF71" i="6" l="1"/>
  <c r="AQ70" i="6"/>
  <c r="AR70" i="6" s="1"/>
  <c r="AF69" i="6" l="1"/>
  <c r="AF73" i="6" s="1"/>
  <c r="AF79" i="6" l="1"/>
  <c r="AV175" i="4" s="1"/>
  <c r="AV177" i="4" l="1"/>
  <c r="B177" i="4"/>
  <c r="BQ181" i="4" l="1"/>
  <c r="BR181" i="4" s="1"/>
  <c r="BC93" i="9"/>
  <c r="BC183" i="4" l="1"/>
  <c r="B95" i="9"/>
  <c r="AV95" i="9"/>
  <c r="BC186" i="4" l="1"/>
  <c r="B188" i="4" s="1"/>
  <c r="AV188"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V26" authorId="0" shapeId="0" xr:uid="{190586A5-EC8A-446B-9438-B99851585200}">
      <text>
        <r>
          <rPr>
            <b/>
            <sz val="9"/>
            <color indexed="81"/>
            <rFont val="Tahoma"/>
            <family val="2"/>
          </rPr>
          <t>Leave Travel Concession:</t>
        </r>
        <r>
          <rPr>
            <sz val="9"/>
            <color indexed="81"/>
            <rFont val="Tahoma"/>
            <family val="2"/>
          </rPr>
          <t xml:space="preserve">
Please enter the amount received as Leave Travel Concession.
</t>
        </r>
      </text>
    </comment>
    <comment ref="V28" authorId="0" shapeId="0" xr:uid="{594DA5AE-7721-42EC-9A49-0C2957987F0D}">
      <text>
        <r>
          <rPr>
            <b/>
            <sz val="9"/>
            <color indexed="81"/>
            <rFont val="Tahoma"/>
            <family val="2"/>
          </rPr>
          <t>Earned Leave Encashment:</t>
        </r>
        <r>
          <rPr>
            <sz val="9"/>
            <color indexed="81"/>
            <rFont val="Tahoma"/>
            <family val="2"/>
          </rPr>
          <t xml:space="preserve">
Please enter the amount received as Earned Leave Encashment.
</t>
        </r>
      </text>
    </comment>
    <comment ref="BA28" authorId="0" shapeId="0" xr:uid="{458EB316-268A-4483-8038-AD311227B9EA}">
      <text>
        <r>
          <rPr>
            <b/>
            <sz val="9"/>
            <color indexed="81"/>
            <rFont val="Tahoma"/>
            <family val="2"/>
          </rPr>
          <t>Income deemed to be received :</t>
        </r>
        <r>
          <rPr>
            <sz val="9"/>
            <color indexed="81"/>
            <rFont val="Tahoma"/>
            <family val="2"/>
          </rPr>
          <t xml:space="preserve">
</t>
        </r>
        <r>
          <rPr>
            <b/>
            <sz val="9"/>
            <color indexed="81"/>
            <rFont val="Tahoma"/>
            <family val="2"/>
          </rPr>
          <t>Section - 7</t>
        </r>
        <r>
          <rPr>
            <sz val="9"/>
            <color indexed="81"/>
            <rFont val="Tahoma"/>
            <family val="2"/>
          </rPr>
          <t xml:space="preserve">. The following incomes shall be deemed to be received in the previous year :—
 (iii) the contribution made, by the Central Government or any other employer in the previous year, to the account of an employee under a pension scheme referred to in section 80CCD.
</t>
        </r>
      </text>
    </comment>
    <comment ref="V30" authorId="0" shapeId="0" xr:uid="{C02E30C1-ABF2-4F77-A948-38C6C785F253}">
      <text>
        <r>
          <rPr>
            <b/>
            <sz val="9"/>
            <color indexed="81"/>
            <rFont val="Tahoma"/>
            <family val="2"/>
          </rPr>
          <t xml:space="preserve">Any other Allowances:
</t>
        </r>
        <r>
          <rPr>
            <sz val="9"/>
            <color indexed="81"/>
            <rFont val="Tahoma"/>
            <family val="2"/>
          </rPr>
          <t>Please enter the amounts received as allowances as part of your salary, which are not mentioned above.</t>
        </r>
        <r>
          <rPr>
            <sz val="9"/>
            <color indexed="81"/>
            <rFont val="Tahoma"/>
            <family val="2"/>
          </rPr>
          <t xml:space="preserve">
</t>
        </r>
      </text>
    </comment>
    <comment ref="BA30" authorId="0" shapeId="0" xr:uid="{EF242564-F9BE-4E90-B2AB-B55B65CE5671}">
      <text>
        <r>
          <rPr>
            <b/>
            <sz val="9"/>
            <color indexed="81"/>
            <rFont val="Tahoma"/>
            <family val="2"/>
          </rPr>
          <t xml:space="preserve">NPS Arrear - Employer's Contribution to NPS:
</t>
        </r>
        <r>
          <rPr>
            <sz val="9"/>
            <color indexed="81"/>
            <rFont val="Tahoma"/>
            <family val="2"/>
          </rPr>
          <t xml:space="preserve">
Please enter the Employer's Contribution to NPS from any of the arrears received.
</t>
        </r>
      </text>
    </comment>
    <comment ref="N34" authorId="0" shapeId="0" xr:uid="{E16F990C-39DE-4F93-A31A-D3475EA6D0B9}">
      <text>
        <r>
          <rPr>
            <b/>
            <sz val="9"/>
            <color indexed="81"/>
            <rFont val="Tahoma"/>
            <family val="2"/>
          </rPr>
          <t>Salary Arrear to PF</t>
        </r>
        <r>
          <rPr>
            <sz val="9"/>
            <color indexed="81"/>
            <rFont val="Tahoma"/>
            <family val="2"/>
          </rPr>
          <t>:
Please enter the amount of salary Arrear credited to PF.</t>
        </r>
      </text>
    </comment>
    <comment ref="AH34" authorId="0" shapeId="0" xr:uid="{C0382AC4-3DDA-45D1-8AF7-294844C6B43D}">
      <text>
        <r>
          <rPr>
            <b/>
            <sz val="9"/>
            <color indexed="81"/>
            <rFont val="Tahoma"/>
            <family val="2"/>
          </rPr>
          <t xml:space="preserve">Salary Arrear 1 </t>
        </r>
        <r>
          <rPr>
            <sz val="9"/>
            <color indexed="81"/>
            <rFont val="Tahoma"/>
            <family val="2"/>
          </rPr>
          <t>:
Please enter the amount of Salary Arrear received.</t>
        </r>
      </text>
    </comment>
    <comment ref="BC34" authorId="0" shapeId="0" xr:uid="{1C5E1304-60AE-4684-B641-40B5F50B1F09}">
      <text>
        <r>
          <rPr>
            <b/>
            <sz val="9"/>
            <color indexed="81"/>
            <rFont val="Tahoma"/>
            <family val="2"/>
          </rPr>
          <t xml:space="preserve">Salary Arrear 2 :
</t>
        </r>
        <r>
          <rPr>
            <sz val="9"/>
            <color indexed="81"/>
            <rFont val="Tahoma"/>
            <family val="2"/>
          </rPr>
          <t>Please enter the amount of Salary Arrear received.</t>
        </r>
      </text>
    </comment>
    <comment ref="AK40" authorId="0" shapeId="0" xr:uid="{3D25DFCD-5AAD-46D1-8660-86E084E1D8EF}">
      <text>
        <r>
          <rPr>
            <b/>
            <sz val="9"/>
            <color indexed="81"/>
            <rFont val="Tahoma"/>
            <family val="2"/>
          </rPr>
          <t>10. Incomes not included in total income.</t>
        </r>
        <r>
          <rPr>
            <sz val="9"/>
            <color indexed="81"/>
            <rFont val="Tahoma"/>
            <family val="2"/>
          </rPr>
          <t xml:space="preserve">
(</t>
        </r>
        <r>
          <rPr>
            <b/>
            <sz val="9"/>
            <color indexed="81"/>
            <rFont val="Tahoma"/>
            <family val="2"/>
          </rPr>
          <t>10(5)</t>
        </r>
        <r>
          <rPr>
            <sz val="9"/>
            <color indexed="81"/>
            <rFont val="Tahoma"/>
            <family val="2"/>
          </rPr>
          <t xml:space="preserve">) in the case of an individual, the </t>
        </r>
        <r>
          <rPr>
            <b/>
            <sz val="9"/>
            <color indexed="81"/>
            <rFont val="Tahoma"/>
            <family val="2"/>
          </rPr>
          <t>value of any travel concession</t>
        </r>
        <r>
          <rPr>
            <sz val="9"/>
            <color indexed="81"/>
            <rFont val="Tahoma"/>
            <family val="2"/>
          </rPr>
          <t xml:space="preserve"> </t>
        </r>
        <r>
          <rPr>
            <b/>
            <sz val="9"/>
            <color indexed="81"/>
            <rFont val="Tahoma"/>
            <family val="2"/>
          </rPr>
          <t>or assistance</t>
        </r>
        <r>
          <rPr>
            <sz val="9"/>
            <color indexed="81"/>
            <rFont val="Tahoma"/>
            <family val="2"/>
          </rPr>
          <t xml:space="preserve"> received by, or due to, him,—
(a) from his employer for himself and his family, in connection with his proceeding on leave to any place in India;
(b) from his employer or former employer for himself and his family, in connection with his proceeding to any place in India after retirement from service or after the termination of his service,
subject to such conditions as may be prescribed46 (including conditions as to number of journeys and the amount which shall be exempt per head) having regard to the travel concession or assistance granted to the employees of the Central Government :
Provided that the</t>
        </r>
        <r>
          <rPr>
            <b/>
            <sz val="9"/>
            <color indexed="81"/>
            <rFont val="Tahoma"/>
            <family val="2"/>
          </rPr>
          <t xml:space="preserve"> amount exempt under this clause shall in no case exceed the amount of expenses actually incurred</t>
        </r>
        <r>
          <rPr>
            <sz val="9"/>
            <color indexed="81"/>
            <rFont val="Tahoma"/>
            <family val="2"/>
          </rPr>
          <t xml:space="preserve"> for the purpose of such travel:
[Provided further that for the assessment year beginning on the 1st day of April, 2021, the value in lieu of any travel concession or assistance received by, or due to, such individual shall also be exempt under this clause subject to the fulfilment of such conditions (including the condition of incurring such amount of such expenditure within such period), as may be prescribed.]
[Explanation 1].—For the purposes of this clause, "family", in relation to an individual, means—
(i) the spouse and children of the individual; and
(ii) the parents, brothers and sisters of the individual or any of them, wholly or mainly dependent on the individual.]
[Explanation 2.—For the removal of doubts, it is hereby clarified that where an individual claims exemption and the exemption is allowed under the second proviso in connection with the prescribed expenditure, no exemption shall be allowed under this clause in respect of such prescribed expenditure to any other individual;]</t>
        </r>
      </text>
    </comment>
    <comment ref="AV40" authorId="0" shapeId="0" xr:uid="{F6AEDC0F-9244-41F1-A5C8-8CA8C664E610}">
      <text>
        <r>
          <rPr>
            <sz val="9"/>
            <color indexed="81"/>
            <rFont val="Tahoma"/>
            <family val="2"/>
          </rPr>
          <t xml:space="preserve">Rule 2B prescribes the conditions as well as quantum of exemption, which are as follows :
Conditions to be satisfied - Conditions to be satisfied are as under :
♦ The exemption is admissible on the value of any travel concession or assistance received by or due to an assessee from his employer or former employer, as the case may be, for himself and his family, in connection with his proceeding (i) on leave to any place in India,
or (ii) to any place in India after the retirement from service, or (iii) to any place in India after the termination of his service.
♦ The exemption is admissible in respect of actual expenditure incurred for journeys performed, not only by the assessee but also by his family.
For this purpose, 'family' means (i) the spouse and children of the assessee, and (ii) the parents, brothers and sisters of the assessee provided that they are wholly or mainly dependent on the assessee.
♦ The exemption can be availed only in respect of two journeys performed in a block of four calendar years. For this purpose, the first four-year block commenced with the calendar year 1986. Thus, the four-year blocks will be 2002-05, 2006-09, 2010-13, 2014-17, 2018-21 and so on.
♦ If an assessee has not availed travel concession or assistance during any of the specified four-year block periods on one of the two permitted occasions, or on both occasions, exemption can be claimed provided he avails the concession or assistance in the calendar year immediately following that block. This is popularly known as the 'carry-over' concession. In such cases, the exemption so availed will not be counted for purposes of regulating the future exemptions allowable for the succeeding block of four years.
Quantum of exemption.—The basic rule is that the quantum of exemption will be limited to the actual expenses incurred on the journey. This pre-supposes that, without performing any journey and incurring expenses thereon, no exemption can be claimed.
In addition to the above general limitation, the quantum of exemption will also be subject to the following maximum limits, depending upon the mode of transport used or available:
   JOURNEYS PERFORMED ON OR AFTER 1-10-1997
   ■ For journeys performed by Air  ■ Air economy fare of the national carrier (Indian Airlines or Air India) by the shortest route to the place of destination.
   ■  Where place of origin of journey and destination are connected by rail and the journey is performed by any mode of transport other than by air  ■  Air-conditioned first class rail fare by the shortest route to the place of destination.
   ■  Where place of origin of journey and destination or part thereof are not connected by rail  ■  (i) Where a recognised public transport system exists, the first class or deluxe class fare on such transport by the shortest route to the place of destination.
        (ii) Where no recognised public transport system exists, the air-conditioned first class rail fare, for the distance of the journey by the shortest route, as if the journey has been performed by rail.
Restricted concession for children.—Exemption on travel concession will not be admissible to more than two surviving children of an individual born after 1-10-1998. This restriction will not however apply in respect of children born before 1-10-1998, and also in cases where an individual, after getting one child, begets multiple children (twins/triplets/quadruplets, etc.) on the second occasion. The implications of this restriction will be as follows :
 ♦  In respect of journeys performed on or before 1-10-1998 exemption will be admissible in respect of all the surviving children of the individual.
 ♦  In respect of journeys performed after 1-10-1998
 -   the exemption will be admissible to all surviving children born before 1-10-1998;
 -   in addition, the exemption will be admissible to only two surviving children born on or after 1-10-1998. In reckoning this limit of two children, children born out of multiple birth after the first child will be treated as 'one child' only.
It may be noted that section 2(15B) of the Act defines a 'child' as includes 'a step-child and an adopted child of the individual'. Hence the aforesaid restrictions will operate in respect of step-children and adopted children also provided they are born on or after 1-10-1998.
See also rule 26C and Form No. 12BB. (Furnishing of evidence of claims by employee for deduction of tax u/s 192)
</t>
        </r>
      </text>
    </comment>
    <comment ref="AK42" authorId="0" shapeId="0" xr:uid="{EAFDE4B4-1753-4833-A385-E3FFA841BC95}">
      <text>
        <r>
          <rPr>
            <b/>
            <sz val="9"/>
            <color indexed="81"/>
            <rFont val="Tahoma"/>
            <family val="2"/>
          </rPr>
          <t>10. Incomes not included in total income.</t>
        </r>
        <r>
          <rPr>
            <sz val="9"/>
            <color indexed="81"/>
            <rFont val="Tahoma"/>
            <family val="2"/>
          </rPr>
          <t xml:space="preserve">
(</t>
        </r>
        <r>
          <rPr>
            <b/>
            <sz val="9"/>
            <color indexed="81"/>
            <rFont val="Tahoma"/>
            <family val="2"/>
          </rPr>
          <t>10AA</t>
        </r>
        <r>
          <rPr>
            <sz val="9"/>
            <color indexed="81"/>
            <rFont val="Tahoma"/>
            <family val="2"/>
          </rPr>
          <t>) (i) any payment received by an employee of the Central Government or a State Government as the cash equivalent of the</t>
        </r>
        <r>
          <rPr>
            <b/>
            <sz val="9"/>
            <color indexed="81"/>
            <rFont val="Tahoma"/>
            <family val="2"/>
          </rPr>
          <t xml:space="preserve"> leave salary in respect of the period of earned leave </t>
        </r>
        <r>
          <rPr>
            <sz val="9"/>
            <color indexed="81"/>
            <rFont val="Tahoma"/>
            <family val="2"/>
          </rPr>
          <t xml:space="preserve">at his </t>
        </r>
        <r>
          <rPr>
            <b/>
            <sz val="9"/>
            <color indexed="81"/>
            <rFont val="Tahoma"/>
            <family val="2"/>
          </rPr>
          <t>credit at the time of his retirement whether on superannuation or otherwise</t>
        </r>
        <r>
          <rPr>
            <sz val="9"/>
            <color indexed="81"/>
            <rFont val="Tahoma"/>
            <family val="2"/>
          </rPr>
          <t>;
(ii) any payment of the nature referred to in sub-clause (i) received by an employee, other than an employee of the Central Government or a State Government, in respect of so much of the period of</t>
        </r>
        <r>
          <rPr>
            <b/>
            <sz val="9"/>
            <color indexed="81"/>
            <rFont val="Tahoma"/>
            <family val="2"/>
          </rPr>
          <t xml:space="preserve"> earned leave at his credit </t>
        </r>
        <r>
          <rPr>
            <sz val="9"/>
            <color indexed="81"/>
            <rFont val="Tahoma"/>
            <family val="2"/>
          </rPr>
          <t>at the time of his retirement whether on superannuation or otherwise as does not exceed ten months, calculated on the basis of the average salary drawn by the employee during the period of ten months immediately preceding his retirement whether on superannuation or otherwise, subject to such limit as the Central Government may, by notification in the Official Gazette, specify in this behalf having regard to the limit applicable in this behalf to the employees of that Government :
Provided that where any such payments are received by an employee from more than one employer in the same previous year, the aggregate amount exempt from income-tax under this sub-clause shall not exceed the limit so specified :
Provided further that where any such payment or payments was or were received in any one or more earlier previous years also and the whole or any part of the amount of such payment or payments was or were not included in the total income of the assessee of such previous year or years, the amount exempt from income-tax under this sub-clause shall not exceed the limit so specified, as reduced by the amount or, as the case may be, the aggregate amount not included in the total income of any such previous year or years.
Explanation.—For the purposes of sub-clause (ii),—
the entitlement to earned leave of an employee shall not exceed thirty days for every year of actual service rendered by him as an employee of the employer from whose service he has retired;</t>
        </r>
      </text>
    </comment>
    <comment ref="AK44" authorId="0" shapeId="0" xr:uid="{6E667B65-1A55-4535-83E2-F0EDD275DC00}">
      <text>
        <r>
          <rPr>
            <b/>
            <sz val="9"/>
            <color indexed="81"/>
            <rFont val="Tahoma"/>
            <family val="2"/>
          </rPr>
          <t xml:space="preserve">10. Incomes not included in total income.
</t>
        </r>
        <r>
          <rPr>
            <sz val="9"/>
            <color indexed="81"/>
            <rFont val="Tahoma"/>
            <family val="2"/>
          </rPr>
          <t xml:space="preserve">
(</t>
        </r>
        <r>
          <rPr>
            <b/>
            <sz val="9"/>
            <color indexed="81"/>
            <rFont val="Tahoma"/>
            <family val="2"/>
          </rPr>
          <t>13A</t>
        </r>
        <r>
          <rPr>
            <sz val="9"/>
            <color indexed="81"/>
            <rFont val="Tahoma"/>
            <family val="2"/>
          </rPr>
          <t xml:space="preserve">) any </t>
        </r>
        <r>
          <rPr>
            <b/>
            <sz val="9"/>
            <color indexed="81"/>
            <rFont val="Tahoma"/>
            <family val="2"/>
          </rPr>
          <t>special allowance specifically</t>
        </r>
        <r>
          <rPr>
            <sz val="9"/>
            <color indexed="81"/>
            <rFont val="Tahoma"/>
            <family val="2"/>
          </rPr>
          <t xml:space="preserve"> granted to an assessee by his employer to meet expenditure </t>
        </r>
        <r>
          <rPr>
            <b/>
            <sz val="9"/>
            <color indexed="81"/>
            <rFont val="Tahoma"/>
            <family val="2"/>
          </rPr>
          <t>actually incurred on payment of rent</t>
        </r>
        <r>
          <rPr>
            <sz val="9"/>
            <color indexed="81"/>
            <rFont val="Tahoma"/>
            <family val="2"/>
          </rPr>
          <t xml:space="preserve"> (by whatever name called) in respect of residential accommodation occupied by the assessee, to such extent as may be prescribed61 having regard to the area or place in which such accommodation is situate and other relevant considerations.
Explanation.—For the removal of doubts, it is hereby declared that nothing contained in this clause shall apply in a case where—
(a) the residential accommodation occupied by the assessee is owned by him; or
(b) the assessee has not actually incurred expenditure on payment of rent (by whatever name called) in respect of the residential accommodation occupied by him;
</t>
        </r>
        <r>
          <rPr>
            <b/>
            <sz val="9"/>
            <color indexed="81"/>
            <rFont val="Tahoma"/>
            <family val="2"/>
          </rPr>
          <t>61. Rule 2A</t>
        </r>
        <r>
          <rPr>
            <sz val="9"/>
            <color indexed="81"/>
            <rFont val="Tahoma"/>
            <family val="2"/>
          </rPr>
          <t xml:space="preserve"> prescribes the </t>
        </r>
        <r>
          <rPr>
            <b/>
            <sz val="9"/>
            <color indexed="81"/>
            <rFont val="Tahoma"/>
            <family val="2"/>
          </rPr>
          <t>quantum of exemption available</t>
        </r>
        <r>
          <rPr>
            <sz val="9"/>
            <color indexed="81"/>
            <rFont val="Tahoma"/>
            <family val="2"/>
          </rPr>
          <t xml:space="preserve">, which will be the </t>
        </r>
        <r>
          <rPr>
            <b/>
            <sz val="9"/>
            <color indexed="81"/>
            <rFont val="Tahoma"/>
            <family val="2"/>
          </rPr>
          <t>least</t>
        </r>
        <r>
          <rPr>
            <sz val="9"/>
            <color indexed="81"/>
            <rFont val="Tahoma"/>
            <family val="2"/>
          </rPr>
          <t xml:space="preserve"> of the following :
 Bombay/Calcutta/Delhi/Madras                                                                 </t>
        </r>
        <r>
          <rPr>
            <b/>
            <sz val="9"/>
            <color indexed="81"/>
            <rFont val="Tahoma"/>
            <family val="2"/>
          </rPr>
          <t>Other Cities</t>
        </r>
        <r>
          <rPr>
            <sz val="9"/>
            <color indexed="81"/>
            <rFont val="Tahoma"/>
            <family val="2"/>
          </rPr>
          <t xml:space="preserve">
   ■  Allowance actually received                                                             ■  </t>
        </r>
        <r>
          <rPr>
            <b/>
            <sz val="9"/>
            <color indexed="81"/>
            <rFont val="Tahoma"/>
            <family val="2"/>
          </rPr>
          <t>Allowance actually received</t>
        </r>
        <r>
          <rPr>
            <sz val="9"/>
            <color indexed="81"/>
            <rFont val="Tahoma"/>
            <family val="2"/>
          </rPr>
          <t xml:space="preserve">
   ■  Rent paid in excess of 10% of salary                                                 ■  </t>
        </r>
        <r>
          <rPr>
            <b/>
            <sz val="9"/>
            <color indexed="81"/>
            <rFont val="Tahoma"/>
            <family val="2"/>
          </rPr>
          <t>Rent paid in excess of 10% of salary</t>
        </r>
        <r>
          <rPr>
            <sz val="9"/>
            <color indexed="81"/>
            <rFont val="Tahoma"/>
            <family val="2"/>
          </rPr>
          <t xml:space="preserve">
   ■  50 per cent of salary                                                                       ■  </t>
        </r>
        <r>
          <rPr>
            <b/>
            <sz val="9"/>
            <color indexed="81"/>
            <rFont val="Tahoma"/>
            <family val="2"/>
          </rPr>
          <t>40 per cent of salary</t>
        </r>
        <r>
          <rPr>
            <sz val="9"/>
            <color indexed="81"/>
            <rFont val="Tahoma"/>
            <family val="2"/>
          </rPr>
          <t xml:space="preserve">
'Salary' for this purpose includes basic salary as well as dearness allowance if the terms of employment so provide. It also includes commission based on a fixed percentage of turnover achieved by an employee as per terms of contract of employment but excludes all other allowances and perquisites. In view of Explanation (ii) to rule 2A, basic pay, dearness allowance and commission are determined on 'due' basis in respect of the period during which rental accommodation is occupied by the employee in the previous year. Thus, emoluments of a period other than previous year are not to be considered, even though such amount is received (as well as taxed) during the previous year. Again, emoluments of the period during which rental accommodation is not occupied in the previous year are left out of computation. It is important to note that where rent paid is 10 per cent or less than 10 per cent of salary, no exemption will be admissible. Again exemption is denied where an employee lives in his own house, or in a house for which he does not pay rent.
See also rule 26C and Form No. </t>
        </r>
        <r>
          <rPr>
            <b/>
            <sz val="9"/>
            <color indexed="81"/>
            <rFont val="Tahoma"/>
            <family val="2"/>
          </rPr>
          <t>12BB</t>
        </r>
        <r>
          <rPr>
            <sz val="9"/>
            <color indexed="81"/>
            <rFont val="Tahoma"/>
            <family val="2"/>
          </rPr>
          <t>. (Furnishing of evidence of claims by employee for deduction of tax u/s 192)</t>
        </r>
      </text>
    </comment>
    <comment ref="AV50" authorId="0" shapeId="0" xr:uid="{00000000-0006-0000-0000-000001000000}">
      <text>
        <r>
          <rPr>
            <b/>
            <sz val="9"/>
            <color indexed="81"/>
            <rFont val="Tahoma"/>
            <family val="2"/>
          </rPr>
          <t>Deductions from salaries:</t>
        </r>
        <r>
          <rPr>
            <sz val="9"/>
            <color indexed="81"/>
            <rFont val="Tahoma"/>
            <family val="2"/>
          </rPr>
          <t xml:space="preserve">
</t>
        </r>
        <r>
          <rPr>
            <b/>
            <sz val="9"/>
            <color indexed="81"/>
            <rFont val="Tahoma"/>
            <family val="2"/>
          </rPr>
          <t>16</t>
        </r>
        <r>
          <rPr>
            <sz val="9"/>
            <color indexed="81"/>
            <rFont val="Tahoma"/>
            <family val="2"/>
          </rPr>
          <t>. The income chargeable under the head "Salaries" shall be computed after making the following deductions, namely :—
(</t>
        </r>
        <r>
          <rPr>
            <b/>
            <sz val="9"/>
            <color indexed="81"/>
            <rFont val="Tahoma"/>
            <family val="2"/>
          </rPr>
          <t>ia</t>
        </r>
        <r>
          <rPr>
            <sz val="9"/>
            <color indexed="81"/>
            <rFont val="Tahoma"/>
            <family val="2"/>
          </rPr>
          <t>) a deduction of [</t>
        </r>
        <r>
          <rPr>
            <b/>
            <sz val="9"/>
            <color indexed="81"/>
            <rFont val="Tahoma"/>
            <family val="2"/>
          </rPr>
          <t>fifty thousand</t>
        </r>
        <r>
          <rPr>
            <sz val="9"/>
            <color indexed="81"/>
            <rFont val="Tahoma"/>
            <family val="2"/>
          </rPr>
          <t>] rupees or the amount of the salary, whichever is less;</t>
        </r>
      </text>
    </comment>
    <comment ref="AV52" authorId="0" shapeId="0" xr:uid="{00000000-0006-0000-0000-000002000000}">
      <text>
        <r>
          <rPr>
            <b/>
            <sz val="9"/>
            <color indexed="81"/>
            <rFont val="Tahoma"/>
            <family val="2"/>
          </rPr>
          <t>Deductions from salaries:</t>
        </r>
        <r>
          <rPr>
            <sz val="9"/>
            <color indexed="81"/>
            <rFont val="Tahoma"/>
            <family val="2"/>
          </rPr>
          <t xml:space="preserve">
</t>
        </r>
        <r>
          <rPr>
            <b/>
            <sz val="9"/>
            <color indexed="81"/>
            <rFont val="Tahoma"/>
            <family val="2"/>
          </rPr>
          <t>16</t>
        </r>
        <r>
          <rPr>
            <sz val="9"/>
            <color indexed="81"/>
            <rFont val="Tahoma"/>
            <family val="2"/>
          </rPr>
          <t>. The income chargeable under the head "Salaries" shall be computed after making the following deductions, namely :—
(</t>
        </r>
        <r>
          <rPr>
            <b/>
            <sz val="9"/>
            <color indexed="81"/>
            <rFont val="Tahoma"/>
            <family val="2"/>
          </rPr>
          <t>iii</t>
        </r>
        <r>
          <rPr>
            <sz val="9"/>
            <color indexed="81"/>
            <rFont val="Tahoma"/>
            <family val="2"/>
          </rPr>
          <t xml:space="preserve">) a deduction of any sum paid by the assessee on account of a tax on employment within the meaning of clause (2) of article 276 of the Constitution, leviable by or under any law.
</t>
        </r>
      </text>
    </comment>
    <comment ref="AV60" authorId="0" shapeId="0" xr:uid="{00000000-0006-0000-0000-000003000000}">
      <text>
        <r>
          <rPr>
            <b/>
            <sz val="9"/>
            <color indexed="81"/>
            <rFont val="Tahoma"/>
            <family val="2"/>
          </rPr>
          <t>Deductions from income from house property:</t>
        </r>
        <r>
          <rPr>
            <sz val="9"/>
            <color indexed="81"/>
            <rFont val="Tahoma"/>
            <family val="2"/>
          </rPr>
          <t xml:space="preserve">
</t>
        </r>
        <r>
          <rPr>
            <b/>
            <sz val="9"/>
            <color indexed="81"/>
            <rFont val="Tahoma"/>
            <family val="2"/>
          </rPr>
          <t>24.</t>
        </r>
        <r>
          <rPr>
            <sz val="9"/>
            <color indexed="81"/>
            <rFont val="Tahoma"/>
            <family val="2"/>
          </rPr>
          <t xml:space="preserve"> Income chargeable under the head "</t>
        </r>
        <r>
          <rPr>
            <b/>
            <sz val="9"/>
            <color indexed="81"/>
            <rFont val="Tahoma"/>
            <family val="2"/>
          </rPr>
          <t>Income from house property</t>
        </r>
        <r>
          <rPr>
            <sz val="9"/>
            <color indexed="81"/>
            <rFont val="Tahoma"/>
            <family val="2"/>
          </rPr>
          <t xml:space="preserve">" shall be computed after making the following deductions, namely:—
(a) a sum equal to thirty per cent of the annual value;
</t>
        </r>
        <r>
          <rPr>
            <b/>
            <sz val="9"/>
            <color indexed="81"/>
            <rFont val="Tahoma"/>
            <family val="2"/>
          </rPr>
          <t>(b)</t>
        </r>
        <r>
          <rPr>
            <sz val="9"/>
            <color indexed="81"/>
            <rFont val="Tahoma"/>
            <family val="2"/>
          </rPr>
          <t xml:space="preserve"> where the property has been </t>
        </r>
        <r>
          <rPr>
            <b/>
            <sz val="9"/>
            <color indexed="81"/>
            <rFont val="Tahoma"/>
            <family val="2"/>
          </rPr>
          <t>acquired, constructed, repaired, renewed or reconstructed</t>
        </r>
        <r>
          <rPr>
            <sz val="9"/>
            <color indexed="81"/>
            <rFont val="Tahoma"/>
            <family val="2"/>
          </rPr>
          <t xml:space="preserve"> with borrowed capital, the amount of any interest payable on such capital:
Provided that in respect of property referred to in sub-section (2) of section 23, the amount of deduction 58[or, as the case may be, the aggregate of the amount of deduction] </t>
        </r>
        <r>
          <rPr>
            <b/>
            <sz val="9"/>
            <color indexed="81"/>
            <rFont val="Tahoma"/>
            <family val="2"/>
          </rPr>
          <t>shall not exceed</t>
        </r>
        <r>
          <rPr>
            <sz val="9"/>
            <color indexed="81"/>
            <rFont val="Tahoma"/>
            <family val="2"/>
          </rPr>
          <t xml:space="preserve"> </t>
        </r>
        <r>
          <rPr>
            <b/>
            <sz val="9"/>
            <color indexed="81"/>
            <rFont val="Tahoma"/>
            <family val="2"/>
          </rPr>
          <t>thirty thousand rupees</t>
        </r>
        <r>
          <rPr>
            <sz val="9"/>
            <color indexed="81"/>
            <rFont val="Tahoma"/>
            <family val="2"/>
          </rPr>
          <t xml:space="preserve"> :
Provided further that where the property referred to in the first proviso is </t>
        </r>
        <r>
          <rPr>
            <b/>
            <sz val="9"/>
            <color indexed="81"/>
            <rFont val="Tahoma"/>
            <family val="2"/>
          </rPr>
          <t>acquired or constructed</t>
        </r>
        <r>
          <rPr>
            <sz val="9"/>
            <color indexed="81"/>
            <rFont val="Tahoma"/>
            <family val="2"/>
          </rPr>
          <t xml:space="preserve"> with capital borrowed </t>
        </r>
        <r>
          <rPr>
            <b/>
            <sz val="9"/>
            <color indexed="81"/>
            <rFont val="Tahoma"/>
            <family val="2"/>
          </rPr>
          <t xml:space="preserve">on or after </t>
        </r>
        <r>
          <rPr>
            <sz val="9"/>
            <color indexed="81"/>
            <rFont val="Tahoma"/>
            <family val="2"/>
          </rPr>
          <t xml:space="preserve">the </t>
        </r>
        <r>
          <rPr>
            <b/>
            <sz val="9"/>
            <color indexed="81"/>
            <rFont val="Tahoma"/>
            <family val="2"/>
          </rPr>
          <t>1st day of April, 1999</t>
        </r>
        <r>
          <rPr>
            <sz val="9"/>
            <color indexed="81"/>
            <rFont val="Tahoma"/>
            <family val="2"/>
          </rPr>
          <t xml:space="preserve"> and such acquisition or construction is completed within</t>
        </r>
        <r>
          <rPr>
            <b/>
            <sz val="9"/>
            <color indexed="81"/>
            <rFont val="Tahoma"/>
            <family val="2"/>
          </rPr>
          <t xml:space="preserve"> five years</t>
        </r>
        <r>
          <rPr>
            <sz val="9"/>
            <color indexed="81"/>
            <rFont val="Tahoma"/>
            <family val="2"/>
          </rPr>
          <t xml:space="preserve"> from the end of the financial year in which capital was borrowed, the amount of deduction 58[or, as the case may be, the aggregate of the amounts of deduction] under this clause </t>
        </r>
        <r>
          <rPr>
            <b/>
            <sz val="9"/>
            <color indexed="81"/>
            <rFont val="Tahoma"/>
            <family val="2"/>
          </rPr>
          <t>shall not exceed two lakh rupees</t>
        </r>
        <r>
          <rPr>
            <sz val="9"/>
            <color indexed="81"/>
            <rFont val="Tahoma"/>
            <family val="2"/>
          </rPr>
          <t xml:space="preserve">.
Explanation.—Where the property has been acquired or constructed with borrowed capital, the interest, if any, payable on such capital borrowed for the period prior to the previous year in which the property has been acquired or constructed, as reduced by any part thereof allowed as deduction under any other provision of this Act, shall be deducted under this clause in </t>
        </r>
        <r>
          <rPr>
            <b/>
            <sz val="9"/>
            <color indexed="81"/>
            <rFont val="Tahoma"/>
            <family val="2"/>
          </rPr>
          <t xml:space="preserve">equal instalments </t>
        </r>
        <r>
          <rPr>
            <sz val="9"/>
            <color indexed="81"/>
            <rFont val="Tahoma"/>
            <family val="2"/>
          </rPr>
          <t xml:space="preserve">for the said previous year and for each of the four immediately </t>
        </r>
        <r>
          <rPr>
            <b/>
            <sz val="9"/>
            <color indexed="81"/>
            <rFont val="Tahoma"/>
            <family val="2"/>
          </rPr>
          <t>succeeding previous years</t>
        </r>
        <r>
          <rPr>
            <sz val="9"/>
            <color indexed="81"/>
            <rFont val="Tahoma"/>
            <family val="2"/>
          </rPr>
          <t>:
Provided also that no deduction shall be made under the second proviso unless the</t>
        </r>
        <r>
          <rPr>
            <b/>
            <sz val="9"/>
            <color indexed="81"/>
            <rFont val="Tahoma"/>
            <family val="2"/>
          </rPr>
          <t xml:space="preserve"> assessee furnishes a certificate</t>
        </r>
        <r>
          <rPr>
            <sz val="9"/>
            <color indexed="81"/>
            <rFont val="Tahoma"/>
            <family val="2"/>
          </rPr>
          <t xml:space="preserve">, from the person to whom any interest is payable on the capital borrowed, specifying the amount of interest payable by the assessee for the purpose of such acquisition or construction of the property, or, conversion of the whole or any part of the capital borrowed which remains to be repaid as a new loan.
Explanation.—For the purposes of this proviso, the expression "new loan" means the whole or any part of a loan taken by the assessee subsequent to the capital borrowed, for the purpose of repayment of such capital:
59[Provided also that the aggregate of the amounts of deduction under the first and second provisos </t>
        </r>
        <r>
          <rPr>
            <b/>
            <sz val="9"/>
            <color indexed="81"/>
            <rFont val="Tahoma"/>
            <family val="2"/>
          </rPr>
          <t>shall not exceed two lakh rupees</t>
        </r>
        <r>
          <rPr>
            <sz val="9"/>
            <color indexed="81"/>
            <rFont val="Tahoma"/>
            <family val="2"/>
          </rPr>
          <t xml:space="preserve">.]
</t>
        </r>
      </text>
    </comment>
    <comment ref="AV66" authorId="0" shapeId="0" xr:uid="{00000000-0006-0000-0000-000004000000}">
      <text>
        <r>
          <rPr>
            <b/>
            <sz val="9"/>
            <color indexed="81"/>
            <rFont val="Tahoma"/>
            <family val="2"/>
          </rPr>
          <t>Income in respect of interest on deposits in savings account:</t>
        </r>
        <r>
          <rPr>
            <sz val="9"/>
            <color indexed="81"/>
            <rFont val="Tahoma"/>
            <family val="2"/>
          </rPr>
          <t xml:space="preserve">
(1) Where the gross total income of an assessee, being an individual or a Hindu undivided family, includes any income by way of interest on deposits (not being time deposits) in a </t>
        </r>
        <r>
          <rPr>
            <b/>
            <sz val="9"/>
            <color indexed="81"/>
            <rFont val="Tahoma"/>
            <family val="2"/>
          </rPr>
          <t>savings account</t>
        </r>
        <r>
          <rPr>
            <sz val="9"/>
            <color indexed="81"/>
            <rFont val="Tahoma"/>
            <family val="2"/>
          </rPr>
          <t xml:space="preserve"> with—
(a) a banking company to which the Banking Regulation Act, 1949 (10 of 1949), applies (including any bank or banking institution referred to in section 51 of that Act);
(b) a co-operative society engaged in carrying on the business of banking (including a co-operative land mortgage bank or a co-operative land development bank); or
(c) a Post Office as defined in clause (k) of section 2 of the Indian Post Office Act, 1898 (6 of 1898),
(2) Where the income referred to in this section is derived from any deposit in a savings account held by, or on behalf of, a firm, an association of persons or a body of individuals, no deduction shall be allowed under this section in respect of such income in computing the total income of any partner of the firm or any member of the association or any individual of the body.
Explanation.—For the purposes of this section, "time deposits" means the deposits repayable on expiry of fixed periods.</t>
        </r>
      </text>
    </comment>
    <comment ref="AJ79" authorId="0" shapeId="0" xr:uid="{54968EC5-DCF4-4234-8054-9AB4AE3BB72C}">
      <text>
        <r>
          <rPr>
            <b/>
            <sz val="9"/>
            <color indexed="81"/>
            <rFont val="Tahoma"/>
            <family val="2"/>
          </rPr>
          <t>Calculation of taxable interest relating to contribution in a provident fund or recognised provided fund, exceeding specified limit.</t>
        </r>
        <r>
          <rPr>
            <sz val="9"/>
            <color indexed="81"/>
            <rFont val="Tahoma"/>
            <family val="2"/>
          </rPr>
          <t xml:space="preserve">
</t>
        </r>
        <r>
          <rPr>
            <b/>
            <sz val="9"/>
            <color indexed="81"/>
            <rFont val="Tahoma"/>
            <family val="2"/>
          </rPr>
          <t>9D</t>
        </r>
        <r>
          <rPr>
            <sz val="9"/>
            <color indexed="81"/>
            <rFont val="Tahoma"/>
            <family val="2"/>
          </rPr>
          <t xml:space="preserve">. (1) For the purposes of the first and second provisos to clauses (11) and (12) of section 10, income by way of interest accrued during the previous year which is not exempt from inclusion in the total income of a person under the said clauses (hereinafter in this rule referred to as the taxable interest), shall be computed as the interest accrued during the previous year in the taxable contribution account.
(2) For the purpose of calculation of taxable interest under sub-rule (1), separate accounts within the provident fund account shall be maintained during the previous year </t>
        </r>
        <r>
          <rPr>
            <b/>
            <sz val="9"/>
            <color indexed="81"/>
            <rFont val="Tahoma"/>
            <family val="2"/>
          </rPr>
          <t>2021-2022</t>
        </r>
        <r>
          <rPr>
            <sz val="9"/>
            <color indexed="81"/>
            <rFont val="Tahoma"/>
            <family val="2"/>
          </rPr>
          <t xml:space="preserve"> and all subsequent previous years for taxable contribution and non-taxable contribution made by a person.
Explanation: For the purposes of this rule,—
(a)    Non-taxable contribution account shall be the aggregate of the following, namely:—
(i)   </t>
        </r>
        <r>
          <rPr>
            <b/>
            <sz val="9"/>
            <color indexed="81"/>
            <rFont val="Tahoma"/>
            <family val="2"/>
          </rPr>
          <t xml:space="preserve"> closing balance</t>
        </r>
        <r>
          <rPr>
            <sz val="9"/>
            <color indexed="81"/>
            <rFont val="Tahoma"/>
            <family val="2"/>
          </rPr>
          <t xml:space="preserve"> in the account as on </t>
        </r>
        <r>
          <rPr>
            <b/>
            <sz val="9"/>
            <color indexed="81"/>
            <rFont val="Tahoma"/>
            <family val="2"/>
          </rPr>
          <t>31st day of March, 2021</t>
        </r>
        <r>
          <rPr>
            <sz val="9"/>
            <color indexed="81"/>
            <rFont val="Tahoma"/>
            <family val="2"/>
          </rPr>
          <t xml:space="preserve">;
(ii)    any contribution made by the person in the account during the previous year </t>
        </r>
        <r>
          <rPr>
            <b/>
            <sz val="9"/>
            <color indexed="81"/>
            <rFont val="Tahoma"/>
            <family val="2"/>
          </rPr>
          <t>2021-2022 and subsequent previous years</t>
        </r>
        <r>
          <rPr>
            <sz val="9"/>
            <color indexed="81"/>
            <rFont val="Tahoma"/>
            <family val="2"/>
          </rPr>
          <t xml:space="preserve">, which is not included in the taxable contribution account; and
(iii)    interest accrued on sub-clause (i) and sub-clause (ii),
     as reduced by the withdrawal, if any, from such account;
(b)    Taxable contribution account shall be the aggregate of the following, namely:-
(i)    contribution made by the person in a previous year in the account during the previous year 2021-2022 and subsequent previous years, which is in </t>
        </r>
        <r>
          <rPr>
            <b/>
            <sz val="9"/>
            <color indexed="81"/>
            <rFont val="Tahoma"/>
            <family val="2"/>
          </rPr>
          <t>excess of the threshold limit</t>
        </r>
        <r>
          <rPr>
            <sz val="9"/>
            <color indexed="81"/>
            <rFont val="Tahoma"/>
            <family val="2"/>
          </rPr>
          <t xml:space="preserve">; and
(ii)    interest accrued on sub- clause (i),
     as reduced by the withdrawal, if any, from such account; and
(c)     The </t>
        </r>
        <r>
          <rPr>
            <b/>
            <sz val="9"/>
            <color indexed="81"/>
            <rFont val="Tahoma"/>
            <family val="2"/>
          </rPr>
          <t>threshold limit shall mean</t>
        </r>
        <r>
          <rPr>
            <sz val="9"/>
            <color indexed="81"/>
            <rFont val="Tahoma"/>
            <family val="2"/>
          </rPr>
          <t xml:space="preserve">:
(i)    </t>
        </r>
        <r>
          <rPr>
            <b/>
            <sz val="9"/>
            <color indexed="81"/>
            <rFont val="Tahoma"/>
            <family val="2"/>
          </rPr>
          <t>five lakh rupees</t>
        </r>
        <r>
          <rPr>
            <sz val="9"/>
            <color indexed="81"/>
            <rFont val="Tahoma"/>
            <family val="2"/>
          </rPr>
          <t xml:space="preserve">, if the second proviso to clause (11) or clause (12) of section 10 is applicable; and
(ii)   </t>
        </r>
        <r>
          <rPr>
            <b/>
            <sz val="9"/>
            <color indexed="81"/>
            <rFont val="Tahoma"/>
            <family val="2"/>
          </rPr>
          <t xml:space="preserve"> two lakh and fifty thousand rupees</t>
        </r>
        <r>
          <rPr>
            <sz val="9"/>
            <color indexed="81"/>
            <rFont val="Tahoma"/>
            <family val="2"/>
          </rPr>
          <t xml:space="preserve"> in other cases.]</t>
        </r>
      </text>
    </comment>
    <comment ref="AV79" authorId="0" shapeId="0" xr:uid="{00000000-0006-0000-0000-000005000000}">
      <text>
        <r>
          <rPr>
            <b/>
            <sz val="9"/>
            <color indexed="81"/>
            <rFont val="Tahoma"/>
            <family val="2"/>
          </rPr>
          <t>80C Deduction in respect of contributions to Provident Fund:</t>
        </r>
        <r>
          <rPr>
            <sz val="9"/>
            <color indexed="81"/>
            <rFont val="Tahoma"/>
            <family val="2"/>
          </rPr>
          <t xml:space="preserve">
Contributions by an individual made under Employees' Provident Fund Scheme
(iv) as a contribution by an individual to any provident fund to which the Provident Funds Act, 1925 (19 of 1925) applies;
 (v) as a contribution to any provident fund set up by the Central Government and notified by it in this behalf in the Official Gazette, where such contribution is to an account standing in the name of any person specified in sub-section (4);
(vi) as a contribution by an employee to a recognised provident fund;
(vii) as a contribution by an employee to an approved superannuation fund;</t>
        </r>
      </text>
    </comment>
    <comment ref="AV89" authorId="0" shapeId="0" xr:uid="{00000000-0006-0000-0000-000006000000}">
      <text>
        <r>
          <rPr>
            <b/>
            <sz val="9"/>
            <color indexed="81"/>
            <rFont val="Tahoma"/>
            <family val="2"/>
          </rPr>
          <t>Life insurance premium for policy :</t>
        </r>
        <r>
          <rPr>
            <sz val="9"/>
            <color indexed="81"/>
            <rFont val="Tahoma"/>
            <family val="2"/>
          </rPr>
          <t xml:space="preserve">
Life insurance premium for policy, in case of individual, on life of assessee, assessee's spouse and any child of assessee.
The sums referred to in sub-section (1) shall be any sums paid or deposited in the previous year by the assessee—
(i)  to effect or to keep in force an insurance on the life of persons specified in sub-section (4);
(ii)  to effect or to keep in force a contract for a deferred annuity, not being an annuity plan referred to in clause (xii), on the life of persons specified in sub-section (4):
Provided that such contract does not contain a provision for the exercise by the insured of an option to receive a cash payment in lieu of the payment of the annuity;
(iii) by way of deduction from the salary payable by or on behalf of the Government to any individual being a sum deducted in accordance with the conditions of his service, for the purpose of securing to him a deferred annuity or making provision for his spouse or children, in so far as the sum so deducted does not exceed one-fifth of the salary;
(xii) to effect or to keep in force a contract for such annuity plan of the Life Insurance Corporation or any other insurer as the Central Government may, by notification in the Official Gazette, specify;
</t>
        </r>
      </text>
    </comment>
    <comment ref="AJ91" authorId="0" shapeId="0" xr:uid="{00000000-0006-0000-0000-000007000000}">
      <text>
        <r>
          <rPr>
            <b/>
            <sz val="9"/>
            <color indexed="81"/>
            <rFont val="Tahoma"/>
            <family val="2"/>
          </rPr>
          <t xml:space="preserve">Life insurance premium for policy :
</t>
        </r>
        <r>
          <rPr>
            <sz val="9"/>
            <color indexed="81"/>
            <rFont val="Tahoma"/>
            <family val="2"/>
          </rPr>
          <t>(i)  to effect or to keep in force an insurance on the life of persons specified in sub-section (4);
(3) The provisions of sub-section (2) shall apply only to so much of any premium or other payment made on an insurance policy, other than a contract for a deferred annuity, issued on or before the 31st day of March, 2012, as is not in excess of twenty per cent of the actual capital sum assured.
Explanation.—In calculating any such actual capital sum assured, no account shall be taken—
(i)  of the value of any premiums agreed to be returned, or
(ii)  of any benefit by way of bonus or otherwise over and above the sum actually assured, which is to be or may be received under the policy by any person.
(3A) The provisions of sub-section (2) shall apply only to so much of any premium or other payment made on an insurance policy, other than a contract for a deferred annuity, issued on or after the 1st day of April, 2012 as is not in excess of ten per cent of the actual capital sum assured :
Provided that where the policy, issued on or after the 1st day of April, 2013, is for insurance on life of any person, who is—
(a)  a person with disability or a person with severe disability as referred to in section 80U, or
(b)  suffering from disease or ailment as specified in the rules made under section 80DDB,</t>
        </r>
      </text>
    </comment>
    <comment ref="AJ93" authorId="0" shapeId="0" xr:uid="{00000000-0006-0000-0000-000008000000}">
      <text>
        <r>
          <rPr>
            <b/>
            <sz val="9"/>
            <color indexed="81"/>
            <rFont val="Tahoma"/>
            <family val="2"/>
          </rPr>
          <t>Home Loan Principal:</t>
        </r>
        <r>
          <rPr>
            <sz val="9"/>
            <color indexed="81"/>
            <rFont val="Tahoma"/>
            <family val="2"/>
          </rPr>
          <t xml:space="preserve">
 (xviii) for the purposes of purchase or construction of a residential house property the income from which is chargeable to tax under the head "Income from house property" (or which would, if it had not been used for the assessee's own residence, have been chargeable to tax under that head), where such payments are made towards or by way of—
(a)  any instalment or part payment of the amount due under any self-financing or other scheme of any development authority, housing board or other authority engaged in the construction and sale of house property on ownership basis; or
(b)  any instalment or part payment of the amount due to any company or co-operative society of which the assessee is a shareholder or member towards the cost of the house property allotted to him; or
(c)  repayment of the amount borrowed by the assessee from—
     (1)  the Central Government or any State Government, or (2)  any bank, including a co-operative bank, or (3)  the Life Insurance   Corporation, or (4)  the National Housing Bank, or (5) any public company formed and registered in India with the main object of carrying on the business of providing long-term finance for construction or purchase of houses in India for residential purposes which is eligible for deduction under clause (viii) of sub-section (1) of section 36, or (6) any company in which the public are substantially interested or any co-operative society, where such company or co-operative society is engaged in the business of financing the construction of houses, or (7) the assessee's employer where such employer is an authority or a board or a corporation or any other body established or constituted under a Central or State Act, or (8) the assessee's employer where such employer is a public company or a public sector company or a university established by law or a college affiliated to such university or a local authority or a co-operative society; or
(d)  stamp duty, registration fee and other expenses for the purpose of transfer of such house property to the assessee,
but shall not include any payment towards or by way of—
(A)  the admission fee, cost of share and initial deposit which a shareholder of a company or a member of a co-operative society has to pay for becoming such shareholder or member; or
(B)  the cost of any addition or alteration to, or renovation or repair of, the house property which is carried out after the issue of the completion certificate in respect of the house property by the authority competent to issue such certificate or after the house property or any part thereof has either been occupied by the assessee or any other person on his behalf or been let out; or
(C)  any expenditure in respect of which deduction is allowable under the provisions of section 24;</t>
        </r>
      </text>
    </comment>
    <comment ref="AJ95" authorId="0" shapeId="0" xr:uid="{00000000-0006-0000-0000-000009000000}">
      <text>
        <r>
          <rPr>
            <b/>
            <sz val="9"/>
            <color indexed="81"/>
            <rFont val="Tahoma"/>
            <family val="2"/>
          </rPr>
          <t xml:space="preserve">Tuition fees:
</t>
        </r>
        <r>
          <rPr>
            <sz val="9"/>
            <color indexed="81"/>
            <rFont val="Tahoma"/>
            <family val="2"/>
          </rPr>
          <t xml:space="preserve">
 (xvii) as tuition fees (excluding any payment towards any development fees or donation or payment of similar nature), whether at the time of admission or thereafter,—
 (a)  to any university, college, school or other educational institution situated within India;
 (b)  for the purpose of full-time education of any of the persons specified in sub-section (4);
(4) The persons referred to in sub-section (2) shall be the following, namely:—
(c)  for the purposes of clause (xvii) of that sub-section, in the case of an individual, any two children of such individual.</t>
        </r>
      </text>
    </comment>
    <comment ref="AJ97" authorId="0" shapeId="0" xr:uid="{00000000-0006-0000-0000-00000A000000}">
      <text>
        <r>
          <rPr>
            <sz val="9"/>
            <color indexed="81"/>
            <rFont val="Tahoma"/>
            <family val="2"/>
          </rPr>
          <t xml:space="preserve">
 (x) as a contribution, in the name of any person specified in sub-section (4), for participation in the Unit-linked Insurance Plan, 1971 (hereafter in this section referred to as the Unit-linked Insurance Plan) specified in Schedule II of the Unit Trust of India (Transfer of Undertaking and Repeal) Act, 2002 (58 of 2002);
(xi) as a contribution in the name of any person specified in sub-section (4) for participation in any such unit-linked insurance plan of the LIC Mutual Fund referred to in clause (23D) of section 10, as the Central Government may, by notification in the Official Gazette, specify in this behalf;
 (xiii) as subscription to any units of any Mutual Fund referred to in clause (23D) of section 10 or from the Administrator or the specified company under any plan formulated in accordance with such scheme as the Central Government may, by notification in the Official Gazette, specify in this behalf;
(xiv) as a contribution by an individual to any pension fund set up by any Mutual Fund referred to in clause (23D) of section 10 or by the Administrator or the specified company, as the Central Government may, by notification in the Official Gazette, specify in this behalf;
(xv) as subscription to any such deposit scheme of, or as a contribution to any such pension fund set up by, the National Housing Bank established under section 3 of the National Housing Bank Act, 1987 (53 of 1987) (hereafter in this section referred to as the National Housing Bank), as the Central Government may, by notification in the Official Gazette, specify in this behalf;
 (xvi) as subscription to any such deposit scheme of—
 (a)  a public sector company which is engaged in providing long-term finance for construction or purchase of houses in India for residential purposes; or
 (b)  any authority constituted in India by or under any law enacted either for the purpose of dealing with and satisfying the need for housing accommodation or for the purpose of planning, development or improvement of cities, towns and villages, or for both,
as the Central Government may, by notification in the Official Gazette, specify in this behalf;</t>
        </r>
      </text>
    </comment>
    <comment ref="AJ99" authorId="0" shapeId="0" xr:uid="{00000000-0006-0000-0000-00000B000000}">
      <text>
        <r>
          <rPr>
            <sz val="9"/>
            <color indexed="81"/>
            <rFont val="Tahoma"/>
            <family val="2"/>
          </rPr>
          <t xml:space="preserve"> 
(xix) as subscription to equity shares or debentures forming part of any eligible issue of capital approved by the Board on an application made by a public company or as subscription to any eligible issue of capital by any public financial institution in the prescribed form.
Explanation.—For the purposes of this clause,—
 (i)  "eligible issue of capital" means an issue made by a public company formed and registered in India or a public financial institution and the entire proceeds of the issue are utilised wholly and exclusively for the purposes of any business referred to in sub-section (4) of section 80-IA;
(ii)  "public company" shall have the meaning assigned to it in section 3 of the Companies Act, 1956 (1 of 1956);
(iii) "public financial institution" shall have the meaning assigned to it in section 4A of the Companies Act, 1956 (1 of 1956);
(xx) as subscription to any units of any mutual fund referred to in clause (23D) of section 10 and approved by the Board on an application made by such mutual fund in the prescribed form:
Provided that this clause shall apply if the amount of subscription to such units is subscribed only in the eligible issue of capital of any company.
Explanation.—For the purposes of this clause "eligible issue of capital" means an issue referred to in clause (i) of the Explanation to clause (xix) of sub-section (2);</t>
        </r>
      </text>
    </comment>
    <comment ref="AJ101" authorId="0" shapeId="0" xr:uid="{00000000-0006-0000-0000-00000C000000}">
      <text>
        <r>
          <rPr>
            <sz val="9"/>
            <color indexed="81"/>
            <rFont val="Tahoma"/>
            <family val="2"/>
          </rPr>
          <t xml:space="preserve">
 (xxi) as term deposit—
 (a)  for a fixed period of not less than five years with a scheduled bank; and
 (b)  which is in accordance with a scheme framed and notified, by the Central Government, in the Official Gazette for the purposes of this clause.
Explanation.—For the purposes of this clause, "scheduled bank" means the State Bank of India constituted under the State Bank of India Act, 1955 (23 of 1955), or a subsidiary bank as defined in the State Bank of India (Subsidiary Banks) Act, 1959 (38 of 1959), or a corresponding new bank constituted under section 3 of the Banking Companies (Acquisition and Transfer of Undertakings) Act, 1970 (5 of 1970), or under section 3 of the Banking Companies (Acquisition and Transfer of Undertakings) Act, 1980 (40 of 1980), or any other bank, being a bank included in the Second Schedule to the Reserve Bank of India Act, 1934 (2 of 1934);
(xxii) as subscription to such bonds issued by the National Bank for Agriculture and Rural Development, as the Central Government may, by notification in the Official Gazette, specify in this behalf;
(xxiii) in an account under the Senior Citizens Savings Scheme Rules, 2004;
(xxiv) as five year time deposit in an account under the Post Office Time Deposit Rules, 1981;</t>
        </r>
      </text>
    </comment>
    <comment ref="AJ103" authorId="0" shapeId="0" xr:uid="{00000000-0006-0000-0000-00000D000000}">
      <text>
        <r>
          <rPr>
            <b/>
            <sz val="9"/>
            <color indexed="81"/>
            <rFont val="Tahoma"/>
            <family val="2"/>
          </rPr>
          <t>80C  Deduction in respect of life insurance premia, deferred annuity, contributions to provident fund, subscription to certain equity shares or debentures, etc.:</t>
        </r>
        <r>
          <rPr>
            <sz val="9"/>
            <color indexed="81"/>
            <rFont val="Tahoma"/>
            <family val="2"/>
          </rPr>
          <t xml:space="preserve">
80C. (1) In computing the total income of an assessee, being an individual or a Hindu undivided family, there shall be deducted, in accordance with and subject to the provisions of this section, the whole of the amount paid or deposited in the previous year, being the aggregate of the sums referred to in sub-section (2), as does </t>
        </r>
        <r>
          <rPr>
            <b/>
            <sz val="9"/>
            <color indexed="81"/>
            <rFont val="Tahoma"/>
            <family val="2"/>
          </rPr>
          <t>not exceed one hundred and fifty thousand rupees</t>
        </r>
        <r>
          <rPr>
            <sz val="9"/>
            <color indexed="81"/>
            <rFont val="Tahoma"/>
            <family val="2"/>
          </rPr>
          <t>.</t>
        </r>
      </text>
    </comment>
    <comment ref="AV103" authorId="0" shapeId="0" xr:uid="{00000000-0006-0000-0000-00000E000000}">
      <text>
        <r>
          <rPr>
            <b/>
            <sz val="9"/>
            <color indexed="81"/>
            <rFont val="Tahoma"/>
            <family val="2"/>
          </rPr>
          <t>Limit on deductions under sections 80C, 80CCC and 80CCD:</t>
        </r>
        <r>
          <rPr>
            <sz val="9"/>
            <color indexed="81"/>
            <rFont val="Tahoma"/>
            <family val="2"/>
          </rPr>
          <t xml:space="preserve">
</t>
        </r>
        <r>
          <rPr>
            <b/>
            <sz val="9"/>
            <color indexed="81"/>
            <rFont val="Tahoma"/>
            <family val="2"/>
          </rPr>
          <t>80CCE</t>
        </r>
        <r>
          <rPr>
            <sz val="9"/>
            <color indexed="81"/>
            <rFont val="Tahoma"/>
            <family val="2"/>
          </rPr>
          <t xml:space="preserve">. The aggregate amount of deductions under section </t>
        </r>
        <r>
          <rPr>
            <b/>
            <sz val="9"/>
            <color indexed="81"/>
            <rFont val="Tahoma"/>
            <family val="2"/>
          </rPr>
          <t>80C</t>
        </r>
        <r>
          <rPr>
            <sz val="9"/>
            <color indexed="81"/>
            <rFont val="Tahoma"/>
            <family val="2"/>
          </rPr>
          <t xml:space="preserve">, section </t>
        </r>
        <r>
          <rPr>
            <b/>
            <sz val="9"/>
            <color indexed="81"/>
            <rFont val="Tahoma"/>
            <family val="2"/>
          </rPr>
          <t>80CCC</t>
        </r>
        <r>
          <rPr>
            <sz val="9"/>
            <color indexed="81"/>
            <rFont val="Tahoma"/>
            <family val="2"/>
          </rPr>
          <t xml:space="preserve"> and sub-section (1) of section </t>
        </r>
        <r>
          <rPr>
            <b/>
            <sz val="9"/>
            <color indexed="81"/>
            <rFont val="Tahoma"/>
            <family val="2"/>
          </rPr>
          <t>80CCD</t>
        </r>
        <r>
          <rPr>
            <sz val="9"/>
            <color indexed="81"/>
            <rFont val="Tahoma"/>
            <family val="2"/>
          </rPr>
          <t xml:space="preserve"> shall not, in any case, </t>
        </r>
        <r>
          <rPr>
            <b/>
            <sz val="9"/>
            <color indexed="81"/>
            <rFont val="Tahoma"/>
            <family val="2"/>
          </rPr>
          <t>exceed</t>
        </r>
        <r>
          <rPr>
            <sz val="9"/>
            <color indexed="81"/>
            <rFont val="Tahoma"/>
            <family val="2"/>
          </rPr>
          <t xml:space="preserve"> </t>
        </r>
        <r>
          <rPr>
            <b/>
            <sz val="9"/>
            <color indexed="81"/>
            <rFont val="Tahoma"/>
            <family val="2"/>
          </rPr>
          <t>one hundred and fifty thousand rupees</t>
        </r>
        <r>
          <rPr>
            <sz val="9"/>
            <color indexed="81"/>
            <rFont val="Tahoma"/>
            <family val="2"/>
          </rPr>
          <t>.</t>
        </r>
      </text>
    </comment>
    <comment ref="AJ105" authorId="0" shapeId="0" xr:uid="{00000000-0006-0000-0000-00000F000000}">
      <text>
        <r>
          <rPr>
            <b/>
            <sz val="9"/>
            <color indexed="81"/>
            <rFont val="Tahoma"/>
            <family val="2"/>
          </rPr>
          <t>Deduction in respect of contribution to certain pension funds.</t>
        </r>
        <r>
          <rPr>
            <sz val="9"/>
            <color indexed="81"/>
            <rFont val="Tahoma"/>
            <family val="2"/>
          </rPr>
          <t xml:space="preserve">
</t>
        </r>
        <r>
          <rPr>
            <b/>
            <sz val="9"/>
            <color indexed="81"/>
            <rFont val="Tahoma"/>
            <family val="2"/>
          </rPr>
          <t>80CCC.</t>
        </r>
        <r>
          <rPr>
            <sz val="9"/>
            <color indexed="81"/>
            <rFont val="Tahoma"/>
            <family val="2"/>
          </rPr>
          <t xml:space="preserve"> (1) Where an assessee being an individual has in the previous year paid or deposited any amount out of his income chargeable to tax to effect or keep in force a contract for any annuity plan of Life Insurance Corporation of India or any other insurer for receiving pension from the fund referred to in clause (23AAB) of section 10, he shall, in accordance with, and subject to, the provisions of this section, be allowed a deduction in the computation of his total income, of the whole of the amount paid or deposited (excluding interest or bonus accrued or credited to the assessee's account, if any) as does not exceed the amount of </t>
        </r>
        <r>
          <rPr>
            <b/>
            <sz val="9"/>
            <color indexed="81"/>
            <rFont val="Tahoma"/>
            <family val="2"/>
          </rPr>
          <t>one hundred and fifty thousand rupees</t>
        </r>
        <r>
          <rPr>
            <sz val="9"/>
            <color indexed="81"/>
            <rFont val="Tahoma"/>
            <family val="2"/>
          </rPr>
          <t xml:space="preserve"> in the previous year.
(2) Where any amount standing to the credit of the assessee in a fund, referred to in sub-section (1) in respect of which a deduction has been allowed under sub-section (1), together with the interest or bonus accrued or credited to the assessee's account, if any, is received by the assessee or his nominee—
(a) on account of the surrender of the annuity plan whether in whole or in part, in any previous year, or
(b) as pension received from the annuity plan,
an amount equal to the whole of the amount referred to in clause (a) or clause (b) shall be deemed to be the income of the assessee or his nominee, as the case may be, in that previous year in which such withdrawal is made or, as the case may be, pension is received, and shall accordingly be chargeable to tax as income of that previous year.
(3) Where any amount paid or deposited by the assessee has been taken into account for the purposes of this section,—
(a) 56[***]
(b) a deduction with reference to such amount shall not be allowed under section 80C for any assessment year beginning on or after the 1st day of April, 2006</t>
        </r>
      </text>
    </comment>
    <comment ref="AV105" authorId="0" shapeId="0" xr:uid="{00000000-0006-0000-0000-000010000000}">
      <text>
        <r>
          <rPr>
            <b/>
            <sz val="9"/>
            <color indexed="81"/>
            <rFont val="Tahoma"/>
            <family val="2"/>
          </rPr>
          <t>Limit on deductions under sections 80C, 80CCC and 80CCD:</t>
        </r>
        <r>
          <rPr>
            <sz val="9"/>
            <color indexed="81"/>
            <rFont val="Tahoma"/>
            <family val="2"/>
          </rPr>
          <t xml:space="preserve">
</t>
        </r>
        <r>
          <rPr>
            <b/>
            <sz val="9"/>
            <color indexed="81"/>
            <rFont val="Tahoma"/>
            <family val="2"/>
          </rPr>
          <t>80CCE.</t>
        </r>
        <r>
          <rPr>
            <sz val="9"/>
            <color indexed="81"/>
            <rFont val="Tahoma"/>
            <family val="2"/>
          </rPr>
          <t xml:space="preserve"> The aggregate amount of deductions under section </t>
        </r>
        <r>
          <rPr>
            <b/>
            <sz val="9"/>
            <color indexed="81"/>
            <rFont val="Tahoma"/>
            <family val="2"/>
          </rPr>
          <t>80C</t>
        </r>
        <r>
          <rPr>
            <sz val="9"/>
            <color indexed="81"/>
            <rFont val="Tahoma"/>
            <family val="2"/>
          </rPr>
          <t xml:space="preserve">, section </t>
        </r>
        <r>
          <rPr>
            <b/>
            <sz val="9"/>
            <color indexed="81"/>
            <rFont val="Tahoma"/>
            <family val="2"/>
          </rPr>
          <t>80CCC</t>
        </r>
        <r>
          <rPr>
            <sz val="9"/>
            <color indexed="81"/>
            <rFont val="Tahoma"/>
            <family val="2"/>
          </rPr>
          <t xml:space="preserve"> and sub-section (1) of section </t>
        </r>
        <r>
          <rPr>
            <b/>
            <sz val="9"/>
            <color indexed="81"/>
            <rFont val="Tahoma"/>
            <family val="2"/>
          </rPr>
          <t>80CCD</t>
        </r>
        <r>
          <rPr>
            <sz val="9"/>
            <color indexed="81"/>
            <rFont val="Tahoma"/>
            <family val="2"/>
          </rPr>
          <t xml:space="preserve"> shall not, in any case, exceed </t>
        </r>
        <r>
          <rPr>
            <b/>
            <sz val="9"/>
            <color indexed="81"/>
            <rFont val="Tahoma"/>
            <family val="2"/>
          </rPr>
          <t>one hundred and fifty thousand rupees.</t>
        </r>
      </text>
    </comment>
    <comment ref="AJ107" authorId="0" shapeId="0" xr:uid="{4C8BAB97-32B4-4395-9E42-ED4216A7C154}">
      <text>
        <r>
          <rPr>
            <b/>
            <sz val="9"/>
            <color indexed="81"/>
            <rFont val="Tahoma"/>
            <family val="2"/>
          </rPr>
          <t>Deduction in respect of contribution to pension scheme of Central Government:</t>
        </r>
        <r>
          <rPr>
            <sz val="9"/>
            <color indexed="81"/>
            <rFont val="Tahoma"/>
            <family val="2"/>
          </rPr>
          <t xml:space="preserve">
</t>
        </r>
        <r>
          <rPr>
            <b/>
            <sz val="9"/>
            <color indexed="81"/>
            <rFont val="Tahoma"/>
            <family val="2"/>
          </rPr>
          <t>80CCD</t>
        </r>
        <r>
          <rPr>
            <sz val="9"/>
            <color indexed="81"/>
            <rFont val="Tahoma"/>
            <family val="2"/>
          </rPr>
          <t>. (1) Where an assessee, being an individual employed by the Central Government on or after the 1st day of January, 2004 or, being an individual employed by any other employer, or any other assessee, being an individual has in the previous year paid or deposited any amount in his account under a pension scheme notified or as may be notified by the Central Government, he shall, in accordance with, and subject to, the provisions of this section, be allowed a deduction in the computation of his total income, of the whole of the amount so paid or deposited as does not exceed,—
(a)  in the case of an employee, ten per cent of his salary in the previous year; and
(b)  in any other case, twenty per cent of his gross total income in the previous year.
(4) Where any amount paid or deposited by the assessee has been allowed as a deduction under sub-section (1) or sub-section (1B),—
(a)  **;(b)  no deduction with reference to such amount shall be allowed under section 80C for any assessment year beginning on or after the 1st day of April, 2006.
(5) For the purposes of this section, the assessee shall be deemed not to have received any amount in the previous year if such amount is used for purchasing an annuity plan in the same previous year.
Explanation.—For the purposes of this section, "salary" includes dearness allowance, if the terms of employment so provide, but excludes all other allowances and perquisites.</t>
        </r>
      </text>
    </comment>
    <comment ref="AV107" authorId="0" shapeId="0" xr:uid="{D8FAA840-8F1F-47F9-938B-412267A7F044}">
      <text>
        <r>
          <rPr>
            <b/>
            <sz val="9"/>
            <color indexed="81"/>
            <rFont val="Tahoma"/>
            <family val="2"/>
          </rPr>
          <t>Limit on deductions under sections 80C, 80CCC and 80CCD:</t>
        </r>
        <r>
          <rPr>
            <sz val="9"/>
            <color indexed="81"/>
            <rFont val="Tahoma"/>
            <family val="2"/>
          </rPr>
          <t xml:space="preserve">
</t>
        </r>
        <r>
          <rPr>
            <b/>
            <sz val="9"/>
            <color indexed="81"/>
            <rFont val="Tahoma"/>
            <family val="2"/>
          </rPr>
          <t>80CCE.</t>
        </r>
        <r>
          <rPr>
            <sz val="9"/>
            <color indexed="81"/>
            <rFont val="Tahoma"/>
            <family val="2"/>
          </rPr>
          <t xml:space="preserve"> The aggregate amount of deductions under section </t>
        </r>
        <r>
          <rPr>
            <b/>
            <sz val="9"/>
            <color indexed="81"/>
            <rFont val="Tahoma"/>
            <family val="2"/>
          </rPr>
          <t>80C</t>
        </r>
        <r>
          <rPr>
            <sz val="9"/>
            <color indexed="81"/>
            <rFont val="Tahoma"/>
            <family val="2"/>
          </rPr>
          <t xml:space="preserve">, section </t>
        </r>
        <r>
          <rPr>
            <b/>
            <sz val="9"/>
            <color indexed="81"/>
            <rFont val="Tahoma"/>
            <family val="2"/>
          </rPr>
          <t>80CCC</t>
        </r>
        <r>
          <rPr>
            <sz val="9"/>
            <color indexed="81"/>
            <rFont val="Tahoma"/>
            <family val="2"/>
          </rPr>
          <t xml:space="preserve"> and sub-section (1) of section </t>
        </r>
        <r>
          <rPr>
            <b/>
            <sz val="9"/>
            <color indexed="81"/>
            <rFont val="Tahoma"/>
            <family val="2"/>
          </rPr>
          <t>80CCD</t>
        </r>
        <r>
          <rPr>
            <sz val="9"/>
            <color indexed="81"/>
            <rFont val="Tahoma"/>
            <family val="2"/>
          </rPr>
          <t xml:space="preserve"> shall not, in any case, exceed </t>
        </r>
        <r>
          <rPr>
            <b/>
            <sz val="9"/>
            <color indexed="81"/>
            <rFont val="Tahoma"/>
            <family val="2"/>
          </rPr>
          <t>one hundred and fifty thousand rupees</t>
        </r>
        <r>
          <rPr>
            <sz val="9"/>
            <color indexed="81"/>
            <rFont val="Tahoma"/>
            <family val="2"/>
          </rPr>
          <t>.</t>
        </r>
      </text>
    </comment>
    <comment ref="AJ109" authorId="0" shapeId="0" xr:uid="{00000000-0006-0000-0000-000011000000}">
      <text>
        <r>
          <rPr>
            <b/>
            <sz val="9"/>
            <color indexed="81"/>
            <rFont val="Tahoma"/>
            <family val="2"/>
          </rPr>
          <t>Deduction in respect of contribution to pension scheme of Central Government:</t>
        </r>
        <r>
          <rPr>
            <sz val="9"/>
            <color indexed="81"/>
            <rFont val="Tahoma"/>
            <family val="2"/>
          </rPr>
          <t xml:space="preserve">
</t>
        </r>
        <r>
          <rPr>
            <b/>
            <sz val="9"/>
            <color indexed="81"/>
            <rFont val="Tahoma"/>
            <family val="2"/>
          </rPr>
          <t>80CCD</t>
        </r>
        <r>
          <rPr>
            <sz val="9"/>
            <color indexed="81"/>
            <rFont val="Tahoma"/>
            <family val="2"/>
          </rPr>
          <t xml:space="preserve">. 
(1B) An assessee referred to in sub-section (1), shall be allowed a deduction in computation of his total income, whether or not any deductions is allowed under sub-section (1), of the whole of the amount paid or deposited in the previous year in his account under a pension scheme notified or as may be notified by the Central Government, which shall not </t>
        </r>
        <r>
          <rPr>
            <b/>
            <sz val="9"/>
            <color indexed="81"/>
            <rFont val="Tahoma"/>
            <family val="2"/>
          </rPr>
          <t>exceed fifty thousand rupees</t>
        </r>
        <r>
          <rPr>
            <sz val="9"/>
            <color indexed="81"/>
            <rFont val="Tahoma"/>
            <family val="2"/>
          </rPr>
          <t>:
Provided that no deduction under this sub-section shall be allowed in respect of the amount on which a deduction has been claimed and allowed under sub-section (1).
(3) Where any amount standing to the credit of the assessee in his account referred to in sub-section (1) or sub-section (1B), in respect of which a deduction has been allowed under those sub-sections or sub-section (2), together with the amount accrued thereon, if any, is received by the assessee or his nominee, in whole or in part, in any previous year,—
(a)  on account of closure or his opting out of the pension scheme referred to in sub-section (1) or sub-section (1B); or
(b)  as pension received from the annuity plan purchased or taken on such closure or opting out,
the whole of the amount referred to in clause (a) or clause (b) shall be deemed to be the income of the assessee or his nominee, as the case may be, in the previous year in which such amount is received, and shall accordingly be charged to tax as income of that previous year:
Provided that the amount received by the nominee, on the death of the assessee, under the circumstances referred to in clause (a), shall not be deemed to be the income of the nominee.
(4) Where any amount paid or deposited by the assessee has been allowed as a deduction under sub-section (1) or sub-section (1B),—
(a)  **;(b)  no deduction with reference to such amount shall be allowed under section 80C for any assessment year beginning on or after the 1st day of April, 2006.
(5) For the purposes of this section, the assessee shall be deemed not to have received any amount in the previous year if such amount is used for purchasing an annuity plan in the same previous year.
Explanation.—For the purposes of this section, "salary" includes dearness allowance, if the terms of employment so provide, but excludes all other allowances and perquisites.</t>
        </r>
      </text>
    </comment>
    <comment ref="AJ111" authorId="0" shapeId="0" xr:uid="{FE529993-B2AE-4019-80A5-B461C14AF171}">
      <text>
        <r>
          <rPr>
            <b/>
            <sz val="9"/>
            <color indexed="81"/>
            <rFont val="Tahoma"/>
            <family val="2"/>
          </rPr>
          <t>Deduction in respect of contribution to pension scheme of Central Government:</t>
        </r>
        <r>
          <rPr>
            <sz val="9"/>
            <color indexed="81"/>
            <rFont val="Tahoma"/>
            <family val="2"/>
          </rPr>
          <t xml:space="preserve">
</t>
        </r>
        <r>
          <rPr>
            <b/>
            <sz val="9"/>
            <color indexed="81"/>
            <rFont val="Tahoma"/>
            <family val="2"/>
          </rPr>
          <t>80CCD</t>
        </r>
        <r>
          <rPr>
            <sz val="9"/>
            <color indexed="81"/>
            <rFont val="Tahoma"/>
            <family val="2"/>
          </rPr>
          <t>. (2) Where, in the case of an assessee referred to in sub-section (1), the Central Government or any other employer makes any contribution to his account referred to in that sub-section, the assessee shall be allowed a deduction in the computation of his total income, of the whole of the amount contributed by the Central Government or any other employer as 21[does not exceed—
(a)  fourteen per cent, where such contribution is made by the Central Government;
(b)  ten per cent, where such contribution is made by any other employer,
of his salary in the previous year.]
(3) Where any amount standing to the credit of the assessee in his account referred to in sub-section (1) or sub-section (1B), in respect of which a deduction has been allowed under those sub-sections or sub-section (2), together with the amount accrued thereon, if any, is received by the assessee or his nominee, in whole or in part, in any previous year,—
(a)  on account of closure or his opting out of the pension scheme referred to in sub-section (1) or sub-section (1B); or
(b)  as pension received from the annuity plan purchased or taken on such closure or opting out,
the whole of the amount referred to in clause (a) or clause (b) shall be deemed to be the income of the assessee or his nominee, as the case may be, in the previous year in which such amount is received, and shall accordingly be charged to tax as income of that previous year:
Provided that the amount received by the nominee, on the death of the assessee, under the circumstances referred to in clause (a), shall not be deemed to be the income of the nominee.
(5) For the purposes of this section, the assessee shall be deemed not to have received any amount in the previous year if such amount is used for purchasing an annuity plan in the same previous year.
Explanation.—For the purposes of this section, "salary" includes dearness allowance, if the terms of employment so provide, but excludes all other allowances and perquisites.</t>
        </r>
      </text>
    </comment>
    <comment ref="AJ117" authorId="0" shapeId="0" xr:uid="{00000000-0006-0000-0000-000012000000}">
      <text>
        <r>
          <rPr>
            <b/>
            <sz val="9"/>
            <color indexed="81"/>
            <rFont val="Tahoma"/>
            <family val="2"/>
          </rPr>
          <t>Deduction in respect of health insurance premia:</t>
        </r>
        <r>
          <rPr>
            <sz val="9"/>
            <color indexed="81"/>
            <rFont val="Tahoma"/>
            <family val="2"/>
          </rPr>
          <t xml:space="preserve">
</t>
        </r>
        <r>
          <rPr>
            <b/>
            <sz val="9"/>
            <color indexed="81"/>
            <rFont val="Tahoma"/>
            <family val="2"/>
          </rPr>
          <t>80D</t>
        </r>
        <r>
          <rPr>
            <sz val="9"/>
            <color indexed="81"/>
            <rFont val="Tahoma"/>
            <family val="2"/>
          </rPr>
          <t>. (1) In computing the total income of an assessee, being an individual or a Hindu undivided family, there shall be deducted such sum, as specified in sub-section (2) or sub-section (3), payment of which is made by any mode as specified in sub-section (2B), in the previous year out of his income chargeable to tax.
(2) Where the assessee is an individual, the sum referred to in sub-section (1) shall be the aggregate of the following, namely:—
(a) the whole of the amount paid to effect or to keep in force an insurance on the health of the assessee or his family or any contribution made to the Central Government Health Scheme or such other scheme as may be notified by the Central Government in this behalf or any payment made on account of preventive health check-up of the assessee or his family as does not exceed in the aggregate</t>
        </r>
        <r>
          <rPr>
            <b/>
            <sz val="9"/>
            <color indexed="81"/>
            <rFont val="Tahoma"/>
            <family val="2"/>
          </rPr>
          <t xml:space="preserve"> twenty-five thousand</t>
        </r>
        <r>
          <rPr>
            <sz val="9"/>
            <color indexed="81"/>
            <rFont val="Tahoma"/>
            <family val="2"/>
          </rPr>
          <t xml:space="preserve"> rupees; and
Provided further that the aggregate of the sum specified under clause (a) and clause (c) or the aggregate of the sum specified under clause (b) and clause (d) shall not exceed fifty thousand rupees.
Explanation.—For the purposes of clause (a), "family" means the spouse and dependant children of the assessee.
(2B) For the purposes of deduction under sub-section (1), the payment shall be made by—
(i)  any mode, including cash, in respect of any sum paid on account of preventive health check-up;
(ii)  any mode other than cash in all other cases not falling under clause (i).
(5) The insurance referred to in this section shall be in accordance with a scheme made in this behalf by—
(a) the General Insurance Corporation of India formed under section 9 of the General Insurance Business (Nationalisation) Act, 1972 (57 of 1972) and approved by the Central Government in this behalf; or
(b) any other insurer and approved by the Insurance Regulatory and Development Authority established under sub-section (1) of section 3 of the Insurance Regulatory and Development Authority Act, 1999 (41 of 1999).</t>
        </r>
      </text>
    </comment>
    <comment ref="AJ119" authorId="0" shapeId="0" xr:uid="{00000000-0006-0000-0000-000013000000}">
      <text>
        <r>
          <rPr>
            <b/>
            <sz val="9"/>
            <color indexed="81"/>
            <rFont val="Tahoma"/>
            <family val="2"/>
          </rPr>
          <t>Deduction in respect of health insurance premia:</t>
        </r>
        <r>
          <rPr>
            <sz val="9"/>
            <color indexed="81"/>
            <rFont val="Tahoma"/>
            <family val="2"/>
          </rPr>
          <t xml:space="preserve">
</t>
        </r>
        <r>
          <rPr>
            <b/>
            <sz val="9"/>
            <color indexed="81"/>
            <rFont val="Tahoma"/>
            <family val="2"/>
          </rPr>
          <t>80D</t>
        </r>
        <r>
          <rPr>
            <sz val="9"/>
            <color indexed="81"/>
            <rFont val="Tahoma"/>
            <family val="2"/>
          </rPr>
          <t>. (1) In computing the total income of an assessee, being an individual or a Hindu undivided family, there shall be deducted such sum, as specified in sub-section (2) or sub-section (3), payment of which is made by any mode as specified in sub-section (2B), in the previous year out of his income chargeable to tax.
(2) Where the assessee is an individual, the sum referred to in sub-section (1) shall be the aggregate of the following, namely:—
(b) any payment made on account of preventive health check-up of the parent or parents of the assessee as does not exceed in the aggregate twenty-five thousand rupees;
Explanation.—For the purposes of clause (a), "family" means the spouse and dependant children of the assessee.
(2A) Where the amounts referred to in clauses (a) and (b) of sub-section (2) are paid on account of preventive health check-up, the deduction for such amounts shall be allowed to the extent it d</t>
        </r>
        <r>
          <rPr>
            <b/>
            <sz val="9"/>
            <color indexed="81"/>
            <rFont val="Tahoma"/>
            <family val="2"/>
          </rPr>
          <t>oes not exceed in the aggregate five thousand rupees</t>
        </r>
        <r>
          <rPr>
            <sz val="9"/>
            <color indexed="81"/>
            <rFont val="Tahoma"/>
            <family val="2"/>
          </rPr>
          <t xml:space="preserve">.
(2B) For the purposes of deduction under sub-section (1), the payment shall be made by—
 (i)  any mode, including cash, in respect of any sum paid on account of preventive health check-up;
(ii)  any mode other than cash in all other cases not falling under clause (i).
</t>
        </r>
      </text>
    </comment>
    <comment ref="AJ125" authorId="0" shapeId="0" xr:uid="{00000000-0006-0000-0000-000014000000}">
      <text>
        <r>
          <rPr>
            <b/>
            <sz val="9"/>
            <color indexed="81"/>
            <rFont val="Tahoma"/>
            <family val="2"/>
          </rPr>
          <t>Deduction in respect of health insurance premia:</t>
        </r>
        <r>
          <rPr>
            <sz val="9"/>
            <color indexed="81"/>
            <rFont val="Tahoma"/>
            <family val="2"/>
          </rPr>
          <t xml:space="preserve">
</t>
        </r>
        <r>
          <rPr>
            <b/>
            <sz val="9"/>
            <color indexed="81"/>
            <rFont val="Tahoma"/>
            <family val="2"/>
          </rPr>
          <t>80D</t>
        </r>
        <r>
          <rPr>
            <sz val="9"/>
            <color indexed="81"/>
            <rFont val="Tahoma"/>
            <family val="2"/>
          </rPr>
          <t xml:space="preserve">. (1) In computing the total income of an assessee, being an individual or a Hindu undivided family, there shall be deducted such sum, as specified in sub-section (2) or sub-section (3), payment of which is made by any mode as specified in sub-section (2B), in the previous year out of his income chargeable to tax.
(2) Where the assessee is an individual, the sum referred to in sub-section (1) shall be the aggregate of the following, namely:—
(b) the whole of the amount paid to effect or to keep in force an insurance on the health of the parent or parents of the assessee or any payment made on account of preventive health check-up of the parent or parents of the assessee as does not exceed in the aggregate twenty-five thousand rupees;
Provided that the amount referred to in clause (c) or clause (d) is paid in respect of a senior citizen and no amount has been paid to effect or to keep in force an insurance on the health of such person:
Provided further that the aggregate of the sum specified under clause (a) and clause (c) or the aggregate of the sum specified under clause (b) and clause (d) shall not exceed </t>
        </r>
        <r>
          <rPr>
            <b/>
            <sz val="9"/>
            <color indexed="81"/>
            <rFont val="Tahoma"/>
            <family val="2"/>
          </rPr>
          <t>fifty thousand</t>
        </r>
        <r>
          <rPr>
            <sz val="9"/>
            <color indexed="81"/>
            <rFont val="Tahoma"/>
            <family val="2"/>
          </rPr>
          <t xml:space="preserve"> rupees.
(2B) For the purposes of deduction under sub-section (1), the payment shall be made by—
 (i)  any mode, including cash, in respect of any sum paid on account of preventive health check-up;
(ii)  any mode other than cash in all other cases not falling under clause (i).
(4) Where the sum specified in clause (a) or clause (b) of sub-section (2) or clause (a) of sub-section (3) is paid to effect or keep in force an insurance on the health of any person specified therein, and who is a senior citizen, the provisions of this section shall have effect as if for the words "</t>
        </r>
        <r>
          <rPr>
            <b/>
            <sz val="9"/>
            <color indexed="81"/>
            <rFont val="Tahoma"/>
            <family val="2"/>
          </rPr>
          <t>twenty-five thousand rupees</t>
        </r>
        <r>
          <rPr>
            <sz val="9"/>
            <color indexed="81"/>
            <rFont val="Tahoma"/>
            <family val="2"/>
          </rPr>
          <t xml:space="preserve">", the words </t>
        </r>
        <r>
          <rPr>
            <b/>
            <sz val="9"/>
            <color indexed="81"/>
            <rFont val="Tahoma"/>
            <family val="2"/>
          </rPr>
          <t>fifty thousand rupees</t>
        </r>
        <r>
          <rPr>
            <sz val="9"/>
            <color indexed="81"/>
            <rFont val="Tahoma"/>
            <family val="2"/>
          </rPr>
          <t>" had been substituted.
(5) The insurance referred to in this section shall be in accordance with a scheme made in this behalf by—
(a) the General Insurance Corporation of India formed under section 9 of the General Insurance Business (Nationalisation) Act, 1972 (57 of 1972) and approved by the Central Government in this behalf; or
(b) any other insurer and approved by the Insurance Regulatory and Development Authority established under sub-section (1) of section 3 of the Insurance Regulatory and Development Authority Act, 1999 (41 of 1999).
Explanation.—For the purposes of this section,—
 (i)  "senior citizen" means an individual resident in India who is of the age of sixty years or more at any time during the relevant previous year;</t>
        </r>
      </text>
    </comment>
    <comment ref="AJ127" authorId="0" shapeId="0" xr:uid="{00000000-0006-0000-0000-000015000000}">
      <text>
        <r>
          <rPr>
            <b/>
            <sz val="9"/>
            <color indexed="81"/>
            <rFont val="Tahoma"/>
            <family val="2"/>
          </rPr>
          <t>Deduction in respect of health insurance premia:</t>
        </r>
        <r>
          <rPr>
            <sz val="9"/>
            <color indexed="81"/>
            <rFont val="Tahoma"/>
            <family val="2"/>
          </rPr>
          <t xml:space="preserve">
</t>
        </r>
        <r>
          <rPr>
            <b/>
            <sz val="9"/>
            <color indexed="81"/>
            <rFont val="Tahoma"/>
            <family val="2"/>
          </rPr>
          <t>80D</t>
        </r>
        <r>
          <rPr>
            <sz val="9"/>
            <color indexed="81"/>
            <rFont val="Tahoma"/>
            <family val="2"/>
          </rPr>
          <t xml:space="preserve">. (1) In computing the total income of an assessee, being an individual or a Hindu undivided family, there shall be deducted such sum, as specified in sub-section (2) or sub-section (3), payment of which is made by any mode as specified in sub-section (2B), in the previous year out of his income chargeable to tax.
(2) Where the assessee is an individual, the sum referred to in sub-section (1) shall be the aggregate of the following, namely:—
(b) any payment made on account of preventive health check-up of the parent or parents of the assessee as does not exceed in the aggregate twenty-five thousand rupees;
Provided that the amount referred to in clause (c) or clause (d) is paid in respect of a </t>
        </r>
        <r>
          <rPr>
            <b/>
            <sz val="9"/>
            <color indexed="81"/>
            <rFont val="Tahoma"/>
            <family val="2"/>
          </rPr>
          <t>senior citizen</t>
        </r>
        <r>
          <rPr>
            <sz val="9"/>
            <color indexed="81"/>
            <rFont val="Tahoma"/>
            <family val="2"/>
          </rPr>
          <t xml:space="preserve"> and no amount has been paid to effect or to keep in force an insurance on the health of such person:
Provided further that the aggregate of the sum specified under clause (a) and clause (c) or the aggregate of the sum specified under clause (b) and clause (d) shall not exceed </t>
        </r>
        <r>
          <rPr>
            <b/>
            <sz val="9"/>
            <color indexed="81"/>
            <rFont val="Tahoma"/>
            <family val="2"/>
          </rPr>
          <t>fifty thousand</t>
        </r>
        <r>
          <rPr>
            <sz val="9"/>
            <color indexed="81"/>
            <rFont val="Tahoma"/>
            <family val="2"/>
          </rPr>
          <t xml:space="preserve"> rupees.
(2A) Where the amounts referred to in clauses (a) and (b) of sub-section (2) are paid on account of preventive health check-up, the deduction for such amounts shall be allowed to the extent it does not exceed in the aggregate</t>
        </r>
        <r>
          <rPr>
            <b/>
            <sz val="9"/>
            <color indexed="81"/>
            <rFont val="Tahoma"/>
            <family val="2"/>
          </rPr>
          <t xml:space="preserve"> five thousand rupees</t>
        </r>
        <r>
          <rPr>
            <sz val="9"/>
            <color indexed="81"/>
            <rFont val="Tahoma"/>
            <family val="2"/>
          </rPr>
          <t xml:space="preserve">.
(2B) For the purposes of deduction under sub-section (1), the payment shall be made by—
 (i)  any mode, including cash, in respect of any sum paid on account of preventive health check-up;
(ii)  any mode other than cash in all other cases not falling under clause (i).
Explanation.—For the purposes of this section,—
 (i)  "senior citizen" means an individual resident in India who is of the age of sixty years or more at any time during the relevant previous year;
</t>
        </r>
      </text>
    </comment>
    <comment ref="AJ129" authorId="0" shapeId="0" xr:uid="{00000000-0006-0000-0000-000016000000}">
      <text>
        <r>
          <rPr>
            <b/>
            <sz val="9"/>
            <color indexed="81"/>
            <rFont val="Tahoma"/>
            <family val="2"/>
          </rPr>
          <t>Deduction in respect of health insurance premia :</t>
        </r>
        <r>
          <rPr>
            <sz val="9"/>
            <color indexed="81"/>
            <rFont val="Tahoma"/>
            <family val="2"/>
          </rPr>
          <t xml:space="preserve">
</t>
        </r>
        <r>
          <rPr>
            <b/>
            <sz val="9"/>
            <color indexed="81"/>
            <rFont val="Tahoma"/>
            <family val="2"/>
          </rPr>
          <t>80D</t>
        </r>
        <r>
          <rPr>
            <sz val="9"/>
            <color indexed="81"/>
            <rFont val="Tahoma"/>
            <family val="2"/>
          </rPr>
          <t xml:space="preserve">. (1) In computing the total income of an assessee, being an individual or a Hindu undivided family, there shall be deducted such sum, as specified in sub-section (2) or sub-section (3), payment of which is made by any mode as specified in sub-section (2B), in the previous year out of his income chargeable to tax.
(2) Where the assessee is an individual, the sum referred to in sub-section (1) shall be the aggregate of the following, namely:—
(d) the whole of the amount paid on account of medical expenditure incurred on the health of any parent of the assessee, as does not exceed in the aggregate </t>
        </r>
        <r>
          <rPr>
            <b/>
            <sz val="9"/>
            <color indexed="81"/>
            <rFont val="Tahoma"/>
            <family val="2"/>
          </rPr>
          <t>fifty thousand</t>
        </r>
        <r>
          <rPr>
            <sz val="9"/>
            <color indexed="81"/>
            <rFont val="Tahoma"/>
            <family val="2"/>
          </rPr>
          <t xml:space="preserve"> rupees:
</t>
        </r>
        <r>
          <rPr>
            <b/>
            <sz val="9"/>
            <color indexed="81"/>
            <rFont val="Tahoma"/>
            <family val="2"/>
          </rPr>
          <t>Provided that the amount referred to in clause (c) or clause (d) is paid in respect of a senior citizen and no amount has been paid to effect or to keep in force an insurance on the health of such person:</t>
        </r>
        <r>
          <rPr>
            <sz val="9"/>
            <color indexed="81"/>
            <rFont val="Tahoma"/>
            <family val="2"/>
          </rPr>
          <t xml:space="preserve">
Provided further that the aggregate of the sum specified under clause (a) and clause (c) or the aggregate of the sum specified under clause (b) and clause (d) shall not exceed </t>
        </r>
        <r>
          <rPr>
            <b/>
            <sz val="9"/>
            <color indexed="81"/>
            <rFont val="Tahoma"/>
            <family val="2"/>
          </rPr>
          <t>fifty thousand r</t>
        </r>
        <r>
          <rPr>
            <sz val="9"/>
            <color indexed="81"/>
            <rFont val="Tahoma"/>
            <family val="2"/>
          </rPr>
          <t xml:space="preserve">upees.
(2B) For the purposes of deduction under sub-section (1), the payment shall be made by—
 (i)  any mode, including cash, in respect of any sum paid on account of preventive health check-up;
(ii)  any mode other than cash in all other cases not falling under clause (i).
Explanation.—For the purposes of this section,—
 (i)  "senior citizen" means an individual resident in India who is of the age of sixty years or more at any time during the relevant previous year;
</t>
        </r>
      </text>
    </comment>
    <comment ref="AJ133" authorId="0" shapeId="0" xr:uid="{00000000-0006-0000-0000-000017000000}">
      <text>
        <r>
          <rPr>
            <b/>
            <sz val="9"/>
            <color indexed="81"/>
            <rFont val="Tahoma"/>
            <family val="2"/>
          </rPr>
          <t>Deduction in respect of maintenance including medical treatment of a dependant who is a person with disability :</t>
        </r>
        <r>
          <rPr>
            <sz val="9"/>
            <color indexed="81"/>
            <rFont val="Tahoma"/>
            <family val="2"/>
          </rPr>
          <t xml:space="preserve">
</t>
        </r>
        <r>
          <rPr>
            <b/>
            <sz val="9"/>
            <color indexed="81"/>
            <rFont val="Tahoma"/>
            <family val="2"/>
          </rPr>
          <t>80DD.</t>
        </r>
        <r>
          <rPr>
            <sz val="9"/>
            <color indexed="81"/>
            <rFont val="Tahoma"/>
            <family val="2"/>
          </rPr>
          <t xml:space="preserve"> (1) Where an assessee, being an individual or a Hindu undivided family, who is a resident in India, has, during the previous year,—
(a) incurred any expenditure for the medical treatment (including nursing), training and rehabilitation of a dependant, being a person with disability; or
(b) paid or deposited any amount under a scheme framed in this behalf by the Life Insurance Corporation or any other insurer or the Administrator or the specified company subject to the conditions specified in sub-section (2) and approved by the Board in this behalf for the maintenance of a dependant, being a person with disability,
the assessee shall, in accordance with and subject to the provisions of this section, be allowed a deduction of a sum of</t>
        </r>
        <r>
          <rPr>
            <b/>
            <sz val="9"/>
            <color indexed="81"/>
            <rFont val="Tahoma"/>
            <family val="2"/>
          </rPr>
          <t xml:space="preserve"> seventy-five thousand rupees</t>
        </r>
        <r>
          <rPr>
            <sz val="9"/>
            <color indexed="81"/>
            <rFont val="Tahoma"/>
            <family val="2"/>
          </rPr>
          <t xml:space="preserve"> from his gross total income in respect of the previous year:
Provided that where such dependant is a person with </t>
        </r>
        <r>
          <rPr>
            <b/>
            <sz val="9"/>
            <color indexed="81"/>
            <rFont val="Tahoma"/>
            <family val="2"/>
          </rPr>
          <t>severe disability</t>
        </r>
        <r>
          <rPr>
            <sz val="9"/>
            <color indexed="81"/>
            <rFont val="Tahoma"/>
            <family val="2"/>
          </rPr>
          <t>, the provisions of this sub-section shall have effect as if for the words "</t>
        </r>
        <r>
          <rPr>
            <b/>
            <sz val="9"/>
            <color indexed="81"/>
            <rFont val="Tahoma"/>
            <family val="2"/>
          </rPr>
          <t>seventy-five thousand rupee</t>
        </r>
        <r>
          <rPr>
            <sz val="9"/>
            <color indexed="81"/>
            <rFont val="Tahoma"/>
            <family val="2"/>
          </rPr>
          <t>s", the words "</t>
        </r>
        <r>
          <rPr>
            <b/>
            <sz val="9"/>
            <color indexed="81"/>
            <rFont val="Tahoma"/>
            <family val="2"/>
          </rPr>
          <t>one hundred and twenty-five thousand rupees</t>
        </r>
        <r>
          <rPr>
            <sz val="9"/>
            <color indexed="81"/>
            <rFont val="Tahoma"/>
            <family val="2"/>
          </rPr>
          <t xml:space="preserve">" had been substituted.
</t>
        </r>
        <r>
          <rPr>
            <b/>
            <sz val="9"/>
            <color indexed="81"/>
            <rFont val="Tahoma"/>
            <family val="2"/>
          </rPr>
          <t>(c)  "disability" shall have the meaning assigned to it in clause (i) of section 2 of the Persons with Disabilities (Equal Opportunities, Protection of Rights and Full Participation) Act, 1995 (1 of 1996) and includes "autism", "cerebral palsy" and "multiple disability" referred to in clauses (a), (c) and (h) of section 2 of the National Trust for Welfare of Persons with Autism, Cerebral Palsy, Mental Retardation and Multiple Disabilities Act, 1999 (44 of 1999);</t>
        </r>
        <r>
          <rPr>
            <sz val="9"/>
            <color indexed="81"/>
            <rFont val="Tahoma"/>
            <family val="2"/>
          </rPr>
          <t xml:space="preserve">
(2) The deduction under clause (b) of sub-section (1) shall be allowed only if the following conditions are fulfilled, namely:—
(a) the scheme referred to in clause (b) of sub-section (1) provides for payment of annuity or lump sum amount for the benefit of a dependant, being a person with disability, in the event of the death of the individual or the member of the Hindu undivided family in whose name subscription to the scheme has been made; (b) the assessee nominates either the dependant, being a person with disability, or any other person or a trust to receive the payment on his behalf, for the benefit of the dependant, being a person with disability.
(3) If the dependant, being a person with disability, predeceases the individual or the member of the Hindu undivided family referred to in sub-section (2), an amount equal to the amount paid or deposited under clause (b) of sub-section (1) shall be deemed to be the income of the assessee of the previous year in which such amount is received by the assessee and shall accordingly be chargeable to tax as the income of that previous year.
(4) The assessee, claiming a deduction under this section, shall furnish a copy of the certificate issued by the medical authority in the prescribed form and manner, along with the return of income under section 139, in respect of the assessment year for which the deduction is claimed:
Provided that where the condition of disability requires reassessment of its extent after a period stipulated in the aforesaid certificate, no deduction under this section shall be allowed for any assessment year relating to any previous year beginning after the expiry of the previous year during which the aforesaid certificate of disability had expired, unless a new certificate is obtained from the medical authority in the form and manner, as may be prescribed, and a copy thereof is furnished along with the return of income.
Explanation.—For the purposes of this section,—
(a)  "Administrator" means the Administrator as referred to in clause (a) of section 2 of the Unit Trust of India (Transfer of Undertaking and Repeal) Act, 2002 (58 of 2002);
(b)  "dependant" means—
 (i)  in the case of an individual, the spouse, children, parents, brothers and sisters of the individual or any of them;
 (ii)  in the case of a Hindu undivided family, a member of the Hindu undivided family,
dependant wholly or mainly on such individual or Hindu undivided family for his support and maintenance, and who has not claimed any deduction under section 80U in computing his total income for the assessment year relating to the previous year;
(c)  "disability" shall have the meaning assigned to it in clause (i) of section 2 of the Persons with Disabilities (Equal Opportunities, Protection of Rights and Full Participation) Act, 1995 (1 of 1996) and includes "autism", "cerebral palsy" and "multiple disability" referred to in clauses (a), (c) and (h) of section 2 of the National Trust for Welfare of Persons with Autism, Cerebral Palsy, Mental Retardation and Multiple Disabilities Act, 1999 (44 of 1999);
(d)  "Life Insurance Corporation" shall have the same meaning as in clause (iii) of sub-section (8) of section 88;
(e)  "medical authority" means the medical authority as referred to in clause (p) of section 2 of the Persons with Disabilities (Equal Opportunities, Protection of Rights and Full Participation) Act, 1995 (1 of 1996) or such other medical authority as may, by notification, be specified by the Central Government for certifying "autism", "cerebral palsy", "multiple disabilities", "person with disability" and "severe disability" referred to in clauses (a), (c), (h), (j) and (o) of section 2 of the National Trust for Welfare of Persons with Autism, Cerebral Palsy, Mental Retardation and Multiple Disabilities Act, 1999 (44 of 1999);
(f)  "person with disability" means a person as referred to in clause (t) of section 2 of the Persons with Disabilities (Equal Opportunities, Protection of Rights and Full Participation) Act, 1995 (1 of 1996) or clause (j) of section 2 of the National Trust for Welfare of Persons with Autism, Cerebral Palsy, Mental Retardation and Multiple Disabilities Act, 1999 (44 of 1999);
(g)  "person with severe disability" means—
 (i)  a person with eighty per cent or more of one or more disabilities, as referred to in sub-section (4) of section 56 of the Persons with Disabilities (Equal Opportunities, Protection of Rights and Full Participation) Act, 1995 (1 of 1996); or
 (ii)  a person with severe disability referred to in clause (o) of section 2 of the National Trust for Welfare of Persons with Autism, Cerebral Palsy, Mental Retardation and Multiple Disabilities Act, 1999 (44 of 1999);
(h)  "specified company" means a company as referred to in clause (h) of section 2 of the Unit Trust of India (Transfer of Undertaking and Repeal) Act, 2002 (58 of 2002).
</t>
        </r>
      </text>
    </comment>
    <comment ref="AJ135" authorId="0" shapeId="0" xr:uid="{00000000-0006-0000-0000-000018000000}">
      <text>
        <r>
          <rPr>
            <b/>
            <sz val="9"/>
            <color indexed="81"/>
            <rFont val="Tahoma"/>
            <family val="2"/>
          </rPr>
          <t>Deduction in respect of medical treatment, etc:</t>
        </r>
        <r>
          <rPr>
            <sz val="9"/>
            <color indexed="81"/>
            <rFont val="Tahoma"/>
            <family val="2"/>
          </rPr>
          <t xml:space="preserve">
</t>
        </r>
        <r>
          <rPr>
            <b/>
            <sz val="9"/>
            <color indexed="81"/>
            <rFont val="Tahoma"/>
            <family val="2"/>
          </rPr>
          <t>80DDB</t>
        </r>
        <r>
          <rPr>
            <sz val="9"/>
            <color indexed="81"/>
            <rFont val="Tahoma"/>
            <family val="2"/>
          </rPr>
          <t xml:space="preserve">. Where an assessee who is resident in India has, during the previous year, actually paid any amount for the medical treatment of such disease or ailment as may be specified in the rules made in this behalf by the Board—
(a)  for himself or a dependant, in case the assessee is an individual; or
(b)  for any member of a Hindu undivided family, in case the assessee is a Hindu undivided family,
the assessee shall be allowed a deduction of the amount actually paid or a sum of </t>
        </r>
        <r>
          <rPr>
            <b/>
            <sz val="9"/>
            <color indexed="81"/>
            <rFont val="Tahoma"/>
            <family val="2"/>
          </rPr>
          <t>forty thousand rupees,</t>
        </r>
        <r>
          <rPr>
            <sz val="9"/>
            <color indexed="81"/>
            <rFont val="Tahoma"/>
            <family val="2"/>
          </rPr>
          <t xml:space="preserve"> whichever is less, in respect of that previous year in which such amount was actually paid :
Provided that no such deduction shall be allowed unless the assessee obtains the prescription for such medical treatment from</t>
        </r>
        <r>
          <rPr>
            <b/>
            <sz val="9"/>
            <color indexed="81"/>
            <rFont val="Tahoma"/>
            <family val="2"/>
          </rPr>
          <t xml:space="preserve"> a neurologist, an oncologist, a urologist, a haematologist, an immunologist or such other specialist,</t>
        </r>
        <r>
          <rPr>
            <sz val="9"/>
            <color indexed="81"/>
            <rFont val="Tahoma"/>
            <family val="2"/>
          </rPr>
          <t xml:space="preserve"> as may be prescribed :
Provided further that the deduction under this section shall be reduced by the amount received, if any, under an insurance from an insurer, or reimbursed by an employer, for the medical treatment of the person referred to in clause (a) or clause (b) :
Provided also that where the amount actually paid is in respect of the assessee or his dependant or any member of a Hindu undivided family of the assessee and who is a senior citizen, the provisions of this section shall have effect as if for the words</t>
        </r>
        <r>
          <rPr>
            <b/>
            <sz val="9"/>
            <color indexed="81"/>
            <rFont val="Tahoma"/>
            <family val="2"/>
          </rPr>
          <t xml:space="preserve"> "forty thousand rupees"</t>
        </r>
        <r>
          <rPr>
            <sz val="9"/>
            <color indexed="81"/>
            <rFont val="Tahoma"/>
            <family val="2"/>
          </rPr>
          <t xml:space="preserve">, the words </t>
        </r>
        <r>
          <rPr>
            <b/>
            <sz val="9"/>
            <color indexed="81"/>
            <rFont val="Tahoma"/>
            <family val="2"/>
          </rPr>
          <t>"one hundred thousand rupees"</t>
        </r>
        <r>
          <rPr>
            <sz val="9"/>
            <color indexed="81"/>
            <rFont val="Tahoma"/>
            <family val="2"/>
          </rPr>
          <t xml:space="preserve"> had been substituted :
Explanation.—For the purposes of this section,—
 (i)  "dependant" means—
 (a)  in the case of an individual, the spouse, children, parents, brothers and sisters of the individual or any of them,
 (b)  in the case of a Hindu undivided family, a member of the Hindu undivided family,
dependant wholly or mainly on such individual or Hindu undivided family for his support and maintenance;
(ii)  [***]
(iii) "insurer" shall have the meaning assigned to it in clause (9) of section 2 of the Insurance Act, 1938 (4 of 1938);
(iv) "senior citizen" means an individual resident in India who is of the age of sixty years or more at any time during the relevant previous year;</t>
        </r>
      </text>
    </comment>
    <comment ref="AJ137" authorId="0" shapeId="0" xr:uid="{00000000-0006-0000-0000-000019000000}">
      <text>
        <r>
          <rPr>
            <b/>
            <sz val="9"/>
            <color indexed="81"/>
            <rFont val="Tahoma"/>
            <family val="2"/>
          </rPr>
          <t>Deduction in respect of interest on loan taken for higher education:</t>
        </r>
        <r>
          <rPr>
            <sz val="9"/>
            <color indexed="81"/>
            <rFont val="Tahoma"/>
            <family val="2"/>
          </rPr>
          <t xml:space="preserve">
</t>
        </r>
        <r>
          <rPr>
            <b/>
            <sz val="9"/>
            <color indexed="81"/>
            <rFont val="Tahoma"/>
            <family val="2"/>
          </rPr>
          <t>80E</t>
        </r>
        <r>
          <rPr>
            <sz val="9"/>
            <color indexed="81"/>
            <rFont val="Tahoma"/>
            <family val="2"/>
          </rPr>
          <t xml:space="preserve">. (1) In computing the total income of an assessee, being an individual, there shall be deducted, in accordance with and subject to the provisions of this section, </t>
        </r>
        <r>
          <rPr>
            <b/>
            <sz val="9"/>
            <color indexed="81"/>
            <rFont val="Tahoma"/>
            <family val="2"/>
          </rPr>
          <t>any amount paid</t>
        </r>
        <r>
          <rPr>
            <sz val="9"/>
            <color indexed="81"/>
            <rFont val="Tahoma"/>
            <family val="2"/>
          </rPr>
          <t xml:space="preserve"> by him in the previous year, out of his income chargeable to tax, by way of interest on loan taken by him from any financial institution or any approved charitable institution for the purpose of pursuing </t>
        </r>
        <r>
          <rPr>
            <b/>
            <sz val="9"/>
            <color indexed="81"/>
            <rFont val="Tahoma"/>
            <family val="2"/>
          </rPr>
          <t>his higher education or for the purpose of higher education of his relative</t>
        </r>
        <r>
          <rPr>
            <sz val="9"/>
            <color indexed="81"/>
            <rFont val="Tahoma"/>
            <family val="2"/>
          </rPr>
          <t xml:space="preserve">.
(2) The deduction specified in sub-section (1) shall be allowed in computing the total income in respect of the initial assessment year and </t>
        </r>
        <r>
          <rPr>
            <b/>
            <sz val="9"/>
            <color indexed="81"/>
            <rFont val="Tahoma"/>
            <family val="2"/>
          </rPr>
          <t>seven assessmen</t>
        </r>
        <r>
          <rPr>
            <sz val="9"/>
            <color indexed="81"/>
            <rFont val="Tahoma"/>
            <family val="2"/>
          </rPr>
          <t xml:space="preserve">t years immediately succeeding the initial assessment year or until the interest referred to in sub-section (1) is paid by the assessee in full, whichever is earlier.
(3) For the purposes of this section,—
(a)  "approved charitable institution" means an institution specified in, or, as the case may be, an institution established for charitable purposes and approved by the prescribed authority under clause (23C) of section 10 or an institution referred to in clause (a) of sub-section (2) of section 80G;
(b)  "financial institution" means a banking company to which the Banking Regulation Act, 1949 (10 of 1949) applies (including any bank or banking institution referred to in section 51 of that Act); or any other financial institution which the Central Government may, by notification in the Official Gazette, specify in this behalf;
(c)  "higher education" means any course of study pursued after passing the Senior Secondary Examination or its equivalent from any school, board or university recognised by the Central Government or State Government or local authority or by any other authority authorised by the Central Government or State Government or local authority to do so;
(d)  "initial assessment year" means the assessment year relevant to the previous year, in which the assessee starts paying the interest on the loan;
(e)  </t>
        </r>
        <r>
          <rPr>
            <b/>
            <sz val="9"/>
            <color indexed="81"/>
            <rFont val="Tahoma"/>
            <family val="2"/>
          </rPr>
          <t>"relative",</t>
        </r>
        <r>
          <rPr>
            <sz val="9"/>
            <color indexed="81"/>
            <rFont val="Tahoma"/>
            <family val="2"/>
          </rPr>
          <t xml:space="preserve"> in relation to an individual, means the </t>
        </r>
        <r>
          <rPr>
            <b/>
            <sz val="9"/>
            <color indexed="81"/>
            <rFont val="Tahoma"/>
            <family val="2"/>
          </rPr>
          <t xml:space="preserve">spouse and children of that individual or the student for whom </t>
        </r>
        <r>
          <rPr>
            <sz val="9"/>
            <color indexed="81"/>
            <rFont val="Tahoma"/>
            <family val="2"/>
          </rPr>
          <t xml:space="preserve">the individual is the </t>
        </r>
        <r>
          <rPr>
            <b/>
            <sz val="9"/>
            <color indexed="81"/>
            <rFont val="Tahoma"/>
            <family val="2"/>
          </rPr>
          <t>legal guardian</t>
        </r>
        <r>
          <rPr>
            <sz val="9"/>
            <color indexed="81"/>
            <rFont val="Tahoma"/>
            <family val="2"/>
          </rPr>
          <t xml:space="preserve">.
</t>
        </r>
      </text>
    </comment>
    <comment ref="AJ139" authorId="0" shapeId="0" xr:uid="{00000000-0006-0000-0000-00001A000000}">
      <text>
        <r>
          <rPr>
            <b/>
            <sz val="9"/>
            <color indexed="81"/>
            <rFont val="Tahoma"/>
            <family val="2"/>
          </rPr>
          <t>Deduction in respect of interest on loan taken for residential house property:</t>
        </r>
        <r>
          <rPr>
            <sz val="9"/>
            <color indexed="81"/>
            <rFont val="Tahoma"/>
            <family val="2"/>
          </rPr>
          <t xml:space="preserve">
</t>
        </r>
        <r>
          <rPr>
            <b/>
            <sz val="9"/>
            <color indexed="81"/>
            <rFont val="Tahoma"/>
            <family val="2"/>
          </rPr>
          <t>80EE</t>
        </r>
        <r>
          <rPr>
            <sz val="9"/>
            <color indexed="81"/>
            <rFont val="Tahoma"/>
            <family val="2"/>
          </rPr>
          <t xml:space="preserve">. (1) In computing the total income of an assessee, being an individual, there shall be deducted, in accordance with and subject to the provisions of this section, interest payable on loan taken by him from any financial institution for the purpose of acquisition of a </t>
        </r>
        <r>
          <rPr>
            <b/>
            <sz val="9"/>
            <color indexed="81"/>
            <rFont val="Tahoma"/>
            <family val="2"/>
          </rPr>
          <t>residential property</t>
        </r>
        <r>
          <rPr>
            <sz val="9"/>
            <color indexed="81"/>
            <rFont val="Tahoma"/>
            <family val="2"/>
          </rPr>
          <t xml:space="preserve">.
(2) The deduction under sub-section (1) shall not exceed </t>
        </r>
        <r>
          <rPr>
            <b/>
            <sz val="9"/>
            <color indexed="81"/>
            <rFont val="Tahoma"/>
            <family val="2"/>
          </rPr>
          <t>fifty thousand</t>
        </r>
        <r>
          <rPr>
            <sz val="9"/>
            <color indexed="81"/>
            <rFont val="Tahoma"/>
            <family val="2"/>
          </rPr>
          <t xml:space="preserve"> rupees and shall be allowed in computing the total income of the individual for the assessment year beginning on the </t>
        </r>
        <r>
          <rPr>
            <b/>
            <sz val="9"/>
            <color indexed="81"/>
            <rFont val="Tahoma"/>
            <family val="2"/>
          </rPr>
          <t>1st day of April, 2017</t>
        </r>
        <r>
          <rPr>
            <sz val="9"/>
            <color indexed="81"/>
            <rFont val="Tahoma"/>
            <family val="2"/>
          </rPr>
          <t xml:space="preserve"> and subsequent assessment years.
(3) The deduction under sub-section (1) shall be subject to the following conditions, namely:—
 (i)  the</t>
        </r>
        <r>
          <rPr>
            <b/>
            <sz val="9"/>
            <color indexed="81"/>
            <rFont val="Tahoma"/>
            <family val="2"/>
          </rPr>
          <t xml:space="preserve"> loan has been sanctioned</t>
        </r>
        <r>
          <rPr>
            <sz val="9"/>
            <color indexed="81"/>
            <rFont val="Tahoma"/>
            <family val="2"/>
          </rPr>
          <t xml:space="preserve"> by the financial institution during the period beginning on the </t>
        </r>
        <r>
          <rPr>
            <b/>
            <sz val="9"/>
            <color indexed="81"/>
            <rFont val="Tahoma"/>
            <family val="2"/>
          </rPr>
          <t>1st day of April, 2016</t>
        </r>
        <r>
          <rPr>
            <sz val="9"/>
            <color indexed="81"/>
            <rFont val="Tahoma"/>
            <family val="2"/>
          </rPr>
          <t xml:space="preserve"> and ending on the </t>
        </r>
        <r>
          <rPr>
            <b/>
            <sz val="9"/>
            <color indexed="81"/>
            <rFont val="Tahoma"/>
            <family val="2"/>
          </rPr>
          <t>31st day of March, 2017</t>
        </r>
        <r>
          <rPr>
            <sz val="9"/>
            <color indexed="81"/>
            <rFont val="Tahoma"/>
            <family val="2"/>
          </rPr>
          <t>;
(ii)  the amount of</t>
        </r>
        <r>
          <rPr>
            <b/>
            <sz val="9"/>
            <color indexed="81"/>
            <rFont val="Tahoma"/>
            <family val="2"/>
          </rPr>
          <t xml:space="preserve"> loan sanctioned</t>
        </r>
        <r>
          <rPr>
            <sz val="9"/>
            <color indexed="81"/>
            <rFont val="Tahoma"/>
            <family val="2"/>
          </rPr>
          <t xml:space="preserve"> for acquisition of the residential house property does not exceed</t>
        </r>
        <r>
          <rPr>
            <b/>
            <sz val="9"/>
            <color indexed="81"/>
            <rFont val="Tahoma"/>
            <family val="2"/>
          </rPr>
          <t xml:space="preserve"> thirty-five lakh rupees;</t>
        </r>
        <r>
          <rPr>
            <sz val="9"/>
            <color indexed="81"/>
            <rFont val="Tahoma"/>
            <family val="2"/>
          </rPr>
          <t xml:space="preserve">
(iii) the value of </t>
        </r>
        <r>
          <rPr>
            <b/>
            <sz val="9"/>
            <color indexed="81"/>
            <rFont val="Tahoma"/>
            <family val="2"/>
          </rPr>
          <t>residential</t>
        </r>
        <r>
          <rPr>
            <sz val="9"/>
            <color indexed="81"/>
            <rFont val="Tahoma"/>
            <family val="2"/>
          </rPr>
          <t xml:space="preserve"> house property does not </t>
        </r>
        <r>
          <rPr>
            <b/>
            <sz val="9"/>
            <color indexed="81"/>
            <rFont val="Tahoma"/>
            <family val="2"/>
          </rPr>
          <t>exceed fifty lakh rupees</t>
        </r>
        <r>
          <rPr>
            <sz val="9"/>
            <color indexed="81"/>
            <rFont val="Tahoma"/>
            <family val="2"/>
          </rPr>
          <t xml:space="preserve">;
(iv) the assessee does not </t>
        </r>
        <r>
          <rPr>
            <b/>
            <sz val="9"/>
            <color indexed="81"/>
            <rFont val="Tahoma"/>
            <family val="2"/>
          </rPr>
          <t>own any residential house</t>
        </r>
        <r>
          <rPr>
            <sz val="9"/>
            <color indexed="81"/>
            <rFont val="Tahoma"/>
            <family val="2"/>
          </rPr>
          <t xml:space="preserve"> property on the date of sanction of loan.
(4) Where a deduction under this section is allowed for any interest referred to in sub-section (1), deduction shall not be allowed in respect of such interest under any other provision of this Act for the same or any other assessment year.
(5) For the purposes of this section,—
(a)  "financial institution" means a banking company to which the Banking Regulation Act, 1949 (10 of 1949) applies, or any bank or banking institution referred to in section 51 of that Act or a housing finance company;
(b)  "housing finance company" means a public company formed or registered in India with the main object of carrying on the business of providing long-term finance for construction or purchase of houses in India for residential purposes.
</t>
        </r>
      </text>
    </comment>
    <comment ref="AJ141" authorId="0" shapeId="0" xr:uid="{4FB68B07-9143-4F8B-9262-154C28445163}">
      <text>
        <r>
          <rPr>
            <b/>
            <sz val="9"/>
            <color indexed="81"/>
            <rFont val="Tahoma"/>
            <family val="2"/>
          </rPr>
          <t>Deduction in respect of interest on loan taken for certain house property.</t>
        </r>
        <r>
          <rPr>
            <sz val="9"/>
            <color indexed="81"/>
            <rFont val="Tahoma"/>
            <family val="2"/>
          </rPr>
          <t xml:space="preserve">
</t>
        </r>
        <r>
          <rPr>
            <b/>
            <sz val="9"/>
            <color indexed="81"/>
            <rFont val="Tahoma"/>
            <family val="2"/>
          </rPr>
          <t>80EEA.</t>
        </r>
        <r>
          <rPr>
            <sz val="9"/>
            <color indexed="81"/>
            <rFont val="Tahoma"/>
            <family val="2"/>
          </rPr>
          <t xml:space="preserve"> (1) In computing the total income of an assessee, being an individual </t>
        </r>
        <r>
          <rPr>
            <b/>
            <sz val="9"/>
            <color indexed="81"/>
            <rFont val="Tahoma"/>
            <family val="2"/>
          </rPr>
          <t>not eligible to claim deduction under section 80EE</t>
        </r>
        <r>
          <rPr>
            <sz val="9"/>
            <color indexed="81"/>
            <rFont val="Tahoma"/>
            <family val="2"/>
          </rPr>
          <t xml:space="preserve">, there shall be deducted, in accordance with and subject to the provisions of this section, interest payable on loan taken by him from any financial institution for the purpose of </t>
        </r>
        <r>
          <rPr>
            <b/>
            <sz val="9"/>
            <color indexed="81"/>
            <rFont val="Tahoma"/>
            <family val="2"/>
          </rPr>
          <t>acquisition of a residential house property</t>
        </r>
        <r>
          <rPr>
            <sz val="9"/>
            <color indexed="81"/>
            <rFont val="Tahoma"/>
            <family val="2"/>
          </rPr>
          <t xml:space="preserve">.
(2) The deduction under sub-section (1) shall not exceed </t>
        </r>
        <r>
          <rPr>
            <b/>
            <sz val="9"/>
            <color indexed="81"/>
            <rFont val="Tahoma"/>
            <family val="2"/>
          </rPr>
          <t>one lakh and fifty thousand</t>
        </r>
        <r>
          <rPr>
            <sz val="9"/>
            <color indexed="81"/>
            <rFont val="Tahoma"/>
            <family val="2"/>
          </rPr>
          <t xml:space="preserve"> rupees and shall be allowed in computing the total income of the individual for the assessment year beginning on the </t>
        </r>
        <r>
          <rPr>
            <b/>
            <sz val="9"/>
            <color indexed="81"/>
            <rFont val="Tahoma"/>
            <family val="2"/>
          </rPr>
          <t>1st day of April, 2020</t>
        </r>
        <r>
          <rPr>
            <sz val="9"/>
            <color indexed="81"/>
            <rFont val="Tahoma"/>
            <family val="2"/>
          </rPr>
          <t xml:space="preserve"> and subsequent assessment years.
(3) The deduction under sub-section (1) shall be subject to the following conditions, namely:—
  (i) the </t>
        </r>
        <r>
          <rPr>
            <b/>
            <sz val="9"/>
            <color indexed="81"/>
            <rFont val="Tahoma"/>
            <family val="2"/>
          </rPr>
          <t>loan has been sanctioned</t>
        </r>
        <r>
          <rPr>
            <sz val="9"/>
            <color indexed="81"/>
            <rFont val="Tahoma"/>
            <family val="2"/>
          </rPr>
          <t xml:space="preserve"> by the financial institution during the period beginning on the </t>
        </r>
        <r>
          <rPr>
            <b/>
            <sz val="9"/>
            <color indexed="81"/>
            <rFont val="Tahoma"/>
            <family val="2"/>
          </rPr>
          <t>1st day of April,</t>
        </r>
        <r>
          <rPr>
            <sz val="9"/>
            <color indexed="81"/>
            <rFont val="Tahoma"/>
            <family val="2"/>
          </rPr>
          <t xml:space="preserve"> </t>
        </r>
        <r>
          <rPr>
            <b/>
            <sz val="9"/>
            <color indexed="81"/>
            <rFont val="Tahoma"/>
            <family val="2"/>
          </rPr>
          <t>2019</t>
        </r>
        <r>
          <rPr>
            <sz val="9"/>
            <color indexed="81"/>
            <rFont val="Tahoma"/>
            <family val="2"/>
          </rPr>
          <t xml:space="preserve"> and ending on the </t>
        </r>
        <r>
          <rPr>
            <b/>
            <sz val="9"/>
            <color indexed="81"/>
            <rFont val="Tahoma"/>
            <family val="2"/>
          </rPr>
          <t>31st day of March, 96[2021]]</t>
        </r>
        <r>
          <rPr>
            <sz val="9"/>
            <color indexed="81"/>
            <rFont val="Tahoma"/>
            <family val="2"/>
          </rPr>
          <t xml:space="preserve">;
 (ii) the </t>
        </r>
        <r>
          <rPr>
            <b/>
            <sz val="9"/>
            <color indexed="81"/>
            <rFont val="Tahoma"/>
            <family val="2"/>
          </rPr>
          <t>stamp duty value</t>
        </r>
        <r>
          <rPr>
            <sz val="9"/>
            <color indexed="81"/>
            <rFont val="Tahoma"/>
            <family val="2"/>
          </rPr>
          <t xml:space="preserve"> of residential house property does not exceed </t>
        </r>
        <r>
          <rPr>
            <b/>
            <sz val="9"/>
            <color indexed="81"/>
            <rFont val="Tahoma"/>
            <family val="2"/>
          </rPr>
          <t>forty-five lakh</t>
        </r>
        <r>
          <rPr>
            <sz val="9"/>
            <color indexed="81"/>
            <rFont val="Tahoma"/>
            <family val="2"/>
          </rPr>
          <t xml:space="preserve"> rupees;
(iii) the assessee </t>
        </r>
        <r>
          <rPr>
            <b/>
            <sz val="9"/>
            <color indexed="81"/>
            <rFont val="Tahoma"/>
            <family val="2"/>
          </rPr>
          <t>does not own any residential house</t>
        </r>
        <r>
          <rPr>
            <sz val="9"/>
            <color indexed="81"/>
            <rFont val="Tahoma"/>
            <family val="2"/>
          </rPr>
          <t xml:space="preserve"> property on the date of sanction of loan.
(4) Where a deduction under this section is allowed for any interest referred to in sub-section (1), deduction shall not be allowed in respect of such interest under any other provision of this Act for the same or any other assessment year.
(5) For the purposes of this section,—
(a) the expression "financial institution" shall have the meaning assigned to it in clause (a) of sub-section (5) of section 80EE;
(b) the expression "stamp duty value" means value adopted or assessed or assessable by any authority of the Central Government or a State Government for the purpose of payment of stamp duty in respect of an immovable property.</t>
        </r>
        <r>
          <rPr>
            <b/>
            <sz val="9"/>
            <color indexed="81"/>
            <rFont val="Tahoma"/>
            <family val="2"/>
          </rPr>
          <t xml:space="preserve">
</t>
        </r>
        <r>
          <rPr>
            <sz val="9"/>
            <color indexed="81"/>
            <rFont val="Tahoma"/>
            <family val="2"/>
          </rPr>
          <t xml:space="preserve">
96. "2022" shall be substituted for "2021" by the Act No. 13 of 2021, w.e.f. 1-4-2022.</t>
        </r>
      </text>
    </comment>
    <comment ref="AJ143" authorId="0" shapeId="0" xr:uid="{00000000-0006-0000-0000-00001C000000}">
      <text>
        <r>
          <rPr>
            <b/>
            <sz val="9"/>
            <color indexed="81"/>
            <rFont val="Tahoma"/>
            <family val="2"/>
          </rPr>
          <t>Deduction in respect of purchase of electric vehicle :</t>
        </r>
        <r>
          <rPr>
            <sz val="9"/>
            <color indexed="81"/>
            <rFont val="Tahoma"/>
            <family val="2"/>
          </rPr>
          <t xml:space="preserve">
</t>
        </r>
        <r>
          <rPr>
            <b/>
            <sz val="9"/>
            <color indexed="81"/>
            <rFont val="Tahoma"/>
            <family val="2"/>
          </rPr>
          <t>80EEB</t>
        </r>
        <r>
          <rPr>
            <sz val="9"/>
            <color indexed="81"/>
            <rFont val="Tahoma"/>
            <family val="2"/>
          </rPr>
          <t xml:space="preserve">. (1) In computing the total income of an assessee, being an individual, there shall be deducted, in accordance with and subject to the provisions of this section, interest payable on loan taken by him from any financial institution for the purpose of </t>
        </r>
        <r>
          <rPr>
            <b/>
            <sz val="9"/>
            <color indexed="81"/>
            <rFont val="Tahoma"/>
            <family val="2"/>
          </rPr>
          <t>purchase of an electric vehicle</t>
        </r>
        <r>
          <rPr>
            <sz val="9"/>
            <color indexed="81"/>
            <rFont val="Tahoma"/>
            <family val="2"/>
          </rPr>
          <t xml:space="preserve">.
(2) The deduction under sub-section (1) shall not </t>
        </r>
        <r>
          <rPr>
            <b/>
            <sz val="9"/>
            <color indexed="81"/>
            <rFont val="Tahoma"/>
            <family val="2"/>
          </rPr>
          <t>exceed one lakh and fifty thousand rupees</t>
        </r>
        <r>
          <rPr>
            <sz val="9"/>
            <color indexed="81"/>
            <rFont val="Tahoma"/>
            <family val="2"/>
          </rPr>
          <t xml:space="preserve"> and shall be allowed in computing the total income of the individual for the assessment year beginning on the 1st day of April, 2020 and subsequent assessment years.
(3) The deduction under sub-section (1) shall be subject to the condition that the</t>
        </r>
        <r>
          <rPr>
            <b/>
            <sz val="9"/>
            <color indexed="81"/>
            <rFont val="Tahoma"/>
            <family val="2"/>
          </rPr>
          <t xml:space="preserve"> loan has been sanctioned </t>
        </r>
        <r>
          <rPr>
            <sz val="9"/>
            <color indexed="81"/>
            <rFont val="Tahoma"/>
            <family val="2"/>
          </rPr>
          <t xml:space="preserve">by the financial institution during the period beginning on the </t>
        </r>
        <r>
          <rPr>
            <b/>
            <sz val="9"/>
            <color indexed="81"/>
            <rFont val="Tahoma"/>
            <family val="2"/>
          </rPr>
          <t>1st day of April, 2019</t>
        </r>
        <r>
          <rPr>
            <sz val="9"/>
            <color indexed="81"/>
            <rFont val="Tahoma"/>
            <family val="2"/>
          </rPr>
          <t xml:space="preserve"> and ending on the </t>
        </r>
        <r>
          <rPr>
            <b/>
            <sz val="9"/>
            <color indexed="81"/>
            <rFont val="Tahoma"/>
            <family val="2"/>
          </rPr>
          <t>31st day of March, 2023</t>
        </r>
        <r>
          <rPr>
            <sz val="9"/>
            <color indexed="81"/>
            <rFont val="Tahoma"/>
            <family val="2"/>
          </rPr>
          <t xml:space="preserve">.
(4) Where a deduction under this section is allowed for any interest referred to in sub-section (1), deduction shall not be allowed in respect of such interest under any other provision of this Act for the same or any other assessment year.
(5) For the purposes of this section,—
(a)  "electric vehicle" means a vehicle which is powered exclusively by an electric motor whose traction energy is supplied exclusively by traction battery installed in the vehicle and has such electric regenerative braking system, which during braking provides for the conversion of vehicle kinetic energy into electrical energy;
(b)  "financial institution" means a banking company to which the Banking Regulation Act, 1949 (10 of 1949) applies, or any bank or banking institution referred to in section 51 of that Act and includes any deposit taking non-banking financial company or a systemically important non-deposit taking non-banking financial company as defined in clauses (e) and (g) of Explanation 4 to section 43B. ]
</t>
        </r>
      </text>
    </comment>
    <comment ref="AJ145" authorId="0" shapeId="0" xr:uid="{00000000-0006-0000-0000-00001D000000}">
      <text>
        <r>
          <rPr>
            <b/>
            <sz val="9"/>
            <color indexed="81"/>
            <rFont val="Tahoma"/>
            <family val="2"/>
          </rPr>
          <t>Deduction in respect of donations to certain funds, charitable institutions, etc :</t>
        </r>
        <r>
          <rPr>
            <sz val="9"/>
            <color indexed="81"/>
            <rFont val="Tahoma"/>
            <family val="2"/>
          </rPr>
          <t xml:space="preserve">
</t>
        </r>
        <r>
          <rPr>
            <b/>
            <sz val="9"/>
            <color indexed="81"/>
            <rFont val="Tahoma"/>
            <family val="2"/>
          </rPr>
          <t>80G</t>
        </r>
        <r>
          <rPr>
            <sz val="9"/>
            <color indexed="81"/>
            <rFont val="Tahoma"/>
            <family val="2"/>
          </rPr>
          <t xml:space="preserve">. (1) In computing the total income of an assessee, there shall be deducted, in accordance with and subject to the provisions of this section,—
(i)  in a case where the aggregate of the sums specified in sub-section (2) includes any sum or sums of the nature specified in sub-clause (i) or in sub-clause (iiia) or in sub-clause (iiiaa) or in sub-clause (iiiab) or in sub-clause (iiib) or in sub-clause (iiie) or in sub-clause (iiif) or in sub-clause (iiig) or in sub-clause (iiiga) or sub-clause (iiih) or sub-clause (iiiha) or sub-clause (iiihb) or sub-clause (iiihc) or sub-clause (iiihd) or sub-clause (iiihe) or sub-clause (iiihf) or sub-clause (iiihg) or sub-clause (iiihh) or sub-clause (iiihi) or sub-clause (iiihj) or sub-clause (iiihk) or sub-clause (iiihl) or sub-clause (iiihm) or in sub-clause (vii) of clause (a) or in clause (c) or in clause (d) thereof, an amount equal to the whole of the sum or, as the case may be, sums of such nature plus fifty per cent of the balance of such aggregate; and
(ii)  in any other case, an amount equal to fifty per cent of the aggregate of the sums specified in sub-section (2).]
(2) The sums referred to in sub-section (1) shall be the following, namely :—
(a)  any sums paid by the assessee in the previous year as donations to—
  (i)  the National Defence Fund set up by the Central Government; or (ii)  the Jawaharlal Nehru Memorial Fund referred to in the Deed of Declaration of Trust adopted by the National Committee at its meeting held on the 17th day of August, 1964; or (iii)  the Prime Minister's Drought Relief Fund; or (iiia) the Prime Minister's National Relief Fund 24[or the Prime Minister's Citizen Assistance and Relief in Emergency Situations Fund (PM CARES FUND)]; or (iiiaa) the Prime Minister's Armenia Earthquake Relief Fund; or (iiiab) the Africa (Public Contributions - India) Fund; or (iiib) the National Children's Fund; or (iiic) the Indira Gandhi Memorial Trust, the deed of declaration in respect whereof was registered at New Delhi on the 21st day of February, 1985; or(iiid) the Rajiv Gandhi Foundation, the deed of declaration in respect whereof was registered at New Delhi on the 21st day of June, 1991; or(iiie) the National Foundation for Communal Harmony; or
(iiif) a University or any educational institution of national eminence as may be approved by the prescribed authority in this behalf; or (iiig) the Maharashtra Chief Minister's Relief Fund during the period beginning on the 1st day of October, 1993 and ending on the 6th day of October, 1993 or to the Chief Minister's Earthquake Relief Fund, Maharashtra; or (iiiga) any fund set up by the State Government of Gujarat exclusively for providing relief to the victims of earthquake in Gujarat; or(iiih) any Zila Saksharta Samiti constituted in any district under the chairmanship of the Collector of that district for the purposes of improvement of primary education in villages and towns in such district and for literacy and post-literacy activities.
Explanation.—For the purposes of this sub-clause, "town" means a town which has a population not exceeding one lakh according to the last preceding census of which the relevant figures have been published before the first day of the previous year ; or
(iiiha) the National Blood Transfusion Council or to any State Blood Transfusion Council which has its sole object the control, supervision, regulation or encouragement in India of the services related to operation and requirements of blood banks.
Explanation.—For the purposes of this sub-clause,—
(a)  "National Blood Transfusion Council" means a society registered under the Societies Registration Act, 1860 (21 of 1860) and has an officer not below the rank of an Additional Secretary to the Government of India dealing with the AIDS Control Project as its Chairman, by whatever name called;
(b)  "State Blood Transfusion Council" means a society registered, in consultation with the National Blood Transfusion Council, under the Societies Registration Act, 1860 (21 of 1860) or under any law corresponding to that Act in force in any part of India and has Secretary to the Government of that State dealing with the Department of Health, as its Chairman, by whatever name called; or
(iiihb) any fund set up by a State Government to provide medical relief to the poor; or
(iiihc) the Army Central Welfare Fund or the Indian Naval Benevolent Fund or the Air Force Central Welfare Fund established by the armed forces of the Union for the welfare of the past and present members of such forces or their dependants; or
(iiihd) the Andhra Pradesh Chief Minister's Cyclone Relief Fund, 1996; or
(iiihe) the National Illness Assistance Fund; or
(iiihf) the Chief Minister's Relief Fund or the Lieutenant Governor's Relief Fund in respect of any State or Union territory, as the case may be :
Provided that such Fund is—
(a)  the only Fund of its kind established in the State or the Union territory, as the case may be;
(b)  under the overall control of the Chief Secretary or the Department of Finance of the State or the Union territory, as the case may be;
(c)  administered in such manner as may be specified by the State Government or the Lieutenant Governor, as the case may be; or
(iiihg) the National Sports Fund to be set up by the Central Government; or
(iiihh) the National Cultural Fund set up by the Central Government; or
(iiihi) the Fund for Technology Development and Application set up by the Central Government; or
(iiihj) the National Trust for Welfare of Persons with Autism, Cerebral Palsy, Mental Retardation and Multiple Disabilities constituted under sub-section (1) of section 3 of the National Trust for Welfare of Persons with Autism, Cerebral Palsy, Mental Retardation and Multiple Disabilities Act, 1999 (44 of 1999); or
(iiihk) the Swachh Bharat Kosh, set up by the Central Government, other than the sum spent by the assessee in pursuance of Corporate Social Responsibility under sub-section (5) of section 135 of the Companies Act, 2013 (18 of 2013); or
(iiihl) the Clean Ganga Fund, set up by the Central Government, where such assessee is a resident and such sum is other than the sum spent by the assessee in pursuance of Corporate Social Responsibility under sub-section (5) of section 135 of the Companies Act, 2013 (18 of 2013); or
(iiihm) the National Fund for Control of Drug Abuse constituted under section 7A of the Narcotic Drugs and Psychotropic Substances Act, 1985 (61 of 1985); or
(iv)  any other fund or any institution to which this section applies; or
(v)  the Government or any local authority, to be utilised for any charitable purpose other than the purpose of promoting family planning; or
(vi)  an authority constituted in India by or under any law enacted either for the purpose of dealing with and satisfying the need for housing accommodation or for the purpose of planning, development or improvement of cities, towns and villages, or for both;
(via) any corporation referred to in clause (26BB) of section 10; or
(vii) the Government or to any such local authority, institution or association as may be approved in this behalf by the Central Government, to be utilised for the purpose of promoting family planning;
(b)  any sums paid by the assessee in the previous year as donations for the renovation or repair of any such temple, mosque, gurdwara, church or other place as is notified by the Central Government in the Official Gazette to be of historic, archaeological or artistic importance or to be a place of public worship of renown throughout any State or States;
(c)  any sums paid by the assessee, being a company, in the previous year as donations to the Indian Olympic Association or to any other association or institution established in India, as the Central Government may, having regard to the prescribed guidelines, by notification in the Official Gazette, specify in this behalf for—
  (i)  the development of infrastructure for sports and games; or
 (ii)  the sponsorship of sports and games,
in India;
(d) any sums paid by the assessee, during the period beginning on the 26th day of January, 2001 and ending on the 30th day of September, 2001, to any trust, institution or fund to which this section applies for providing relief to the victims of earthquake in Gujarat.
(3) [Omitted by the Finance Act, 1994, w.e.f. 1-4-1994.]
(4) Where the aggregate of the sums referred to in sub-clauses (iv), (v), (vi) , (via) and (vii) of clause (a) and in clauses (b) and (c) of sub-section (2) exceeds ten per cent of the gross total income (as reduced by any portion thereof on which income-tax is not payable under any provision of this Act and by any amount in respect of which the assessee is entitled to a deduction under any other provision of this Chapter), then the amount in excess of ten per cent of the gross total income shall be ignored for the purpose of computing the aggregate of the sums in respect of which deduction is to be allowed under sub-section (1).
(5) This section applies to donations to any institution or fund referred to in sub-clause (iv) of clause (a) of sub-section (2), only if it is established in India for a charitable purpose and if it fulfils the following conditions, namely :—
(i)  where the institution or fund derives any income, such income would not be liable to inclusion in its total income under the provisions of sections 11 and 12 or clause (23AA) or clause (23C) of section 10 :
Provided that where an institution or fund derives any income, being profits and gains of business, the condition that such income would not be liable to inclusion in its total income under the provisions of section 11 shall not apply in relation to such income, if—
 (a)  the institution or fund maintains separate books of account in respect of such business;
 (b)  the donations made to the institution or fund are not used by it, directly or indirectly, for the purposes of such business; and
 (c)  the institution or fund issues to a person making the donation a certificate to the effect that it maintains separate books of account in respect of such business and that the donations received by it will not be used, directly or indirectly, for the purposes of such business;
(ii) the instrument under which the institution or fund is constituted does not, or the rules governing the institution or fund do not, contain any provision for the transfer or application at any time of the whole or any part of the income or assets of the institution or fund for any purpose other than a charitable purpose;
(iii) the institution or fund is not expressed to be for the benefit of any particular religious community or caste;
(iv) the institution or fund maintains regular accounts of its receipts and expenditure;
(v) the institution or fund is either constituted as a public charitable trust or is registered under the Societies Registration Act, 1860 (21 of 1860), or under any law corresponding to that Act in force in any part of India or under section 25 of the Companies Act, 1956 (1 of 1956), or is a University established by law, or is any other educational institution recognised by the Government or by a University established by law, or affiliated to any University established by law, or is an institution financed wholly or in part by the Government or a local authority;
(vi) in relation to donations made after the 31st day of March, 1992, the institution or fund is for the time being 25[approved by the Principal Commissioner or Commissioner;]
(vii) where any institution or fund had been approved under clause (vi) for the previous year beginning on the 1st day of April, 2007 and ending on the 31st day of March, 2008, such institution or fund shall, for the purposes of this section and notwithstanding anything contained in the proviso to clause (15) of section 2, be deemed to have been,—
 (a)  established for charitable purposes for the previous year beginning on the 1st day of April, 2008 and ending on the 31st day of March, 2009; and
 (b)  approved under the said clause (vi) for the previous year beginning on the 1st day of April, 2008 and ending on the 31st day of March, 2009;
26[(viii) the institution or fund prepares such statement for such period as may be prescribed and deliver or cause to be delivered to the prescribed income-tax authority or the person authorised by such authority such statement in such form and verified in such manner and setting forth such particulars and within such time as may be prescribed:
Provided that the institution or fund may also deliver to the said prescribed authority a correction statement for rectification of any mistake or to add, delete or update the information furnished in the statement delivered under this sub-section in such form and verified in such manner as may be prescribed; and
(ix) the institution or fund furnishes to the donor, a certificate specifying the amount of donation in such manner, containing such particulars and within such time from the date of receipt of donation, as may be prescribed:
Provided that the institution or fund referred to in clause (vi) shall make an application in the prescribed form and manner to the Principal Commissioner or Commissioner, for grant of approval,—
  (i)  where the institution or fund is approved under clause (vi) [as it stood immediately before its amendment by the Finance Act, 2020], within three months from the date on which this proviso has come into force;
 (ii)  where the institution or fund is approved and the period of such approval is due to expire, at least six months prior to expiry of the said period;
 (iii)  where the institution or fund has been provisionally approved, at least six months prior to expiry of the period of the provisional approval or within six months of commencement of its activities, whichever is earlier;
(iv)  in any other case, at least one month prior to commencement of the previous year relevant to the assessment year from which the said approval is sought:
Provided further that the Principal Commissioner or Commissioner, on receipt of an application made under the first proviso, shall,—
  (i)  where the application is made under clause (i) of the said proviso, pass an order in writing granting it approval for a period of five years;
 (ii)  where the application is made under clause (ii) or clause (iii) of the said proviso,—
 (a)  call for such documents or information from it or make such inquiries as he thinks necessary in order to satisfy himself about—
(A) the genuineness of activities of such institution or fund; and
(B) the fulfilment of all the conditions laid down in clauses (i) to (v); and
(b)  after satisfying himself about the genuineness of activities under item (A), and the fulfilment of all the conditions under item (B), of sub-clause (a),—
(A)  pass an order in writing granting it approval for a period of five years;
(B)  if he is not so satisfied, pass an order in writing rejecting such application and also cancelling its approval after affording it a reasonable opportunity of being heard;
 (iii)  where the application is made under clause (iv) of the said proviso, pass an order in writing granting it approval provisionally for a period of three years from the assessment year from which the registration is sought,
and send a copy of such order to the institution or fund:
Provided also that the order under clause (i), sub-clause (b) of clause (ii) and clause (iii) of the first proviso shall be passed in such form and manner as may be prescribed, before expiry of the period of three months, six months and one month, respectively, calculated from the end of the month in which the application was received:
Provided also that the approval granted under the second proviso shall apply to an institution or fund, where the application is made under—
(a)  clause (i) of the first proviso, from the assessment year from which approval was earlier granted to such institution or fund;
(b)  clause (iii) of the first proviso, from the first of the assessment years for which such institution or fund was provisionally approved;
(c)  in any other case, from the assessment year immediately following the financial year in which such application is made.]
(5A) Where a deduction under this section is claimed and allowed for any assessment year in respect of any sum specified in sub-section (2), the sum in respect of which deduction is so allowed shall not qualify for deduction under any other provision of this Act for the same or any other assessment year.
(5B) Notwithstanding anything contained in clause (ii) of sub-section (5) and Explanation 3, an institution or fund which incurs expenditure, during any previous year, which is of a religious nature for an amount not exceeding five per cent of its total income in that previous year shall be deemed to be an institution or fund to which the provisions of this section apply.
(5C) This section applies in relation to amounts referred to in clause (d) of sub-section (2) only if the trust or institution or fund is established in India for a charitable purpose and it fulfils the following conditions, namely :—
 (i)  it is approved in terms of clause (vi) of sub-section (5);
(ii)  it maintains separate accounts of income and expenditure for providing relief to the victims of earthquake in Gujarat;
(iii) the donations made to the trust or institution or fund are applied only for providing relief to the earthquake victims of Gujarat on or before the 31st day of March, 2004;
(iv) the amount of donation remaining unutilised on the 31st day of March, 2004 is transferred to the Prime Minister's National Relief Fund on or before the 31st day of March, 2004;
(v) it renders accounts of income and expenditure to such authority and in such manner as may be prescribed, on or before the 30th day of June, 2004.
(5D) No deduction shall be allowed under this section in respect of donation of any sum exceeding two thousand rupees unless such sum is paid by any mode other than cash.
27[(5E) All applications, pending before the Commissioner on which no order has been passed under clause (vi) of sub-section (5) before the date on which this sub-section has come into force, shall be deemed to be applications made under clause (iv) of the first proviso to sub-section (5) on that date.]
(6) [***]
Explanation 1.—An institution or fund established for the benefit of Scheduled Castes, backward classes, Scheduled Tribes or of women and children shall not be deemed to be an institution or fund expressed to be for the benefit of a religious community or caste within the meaning of clause (iii) of sub-section (5).
Explanation 2.—For the removal of doubts, it is hereby declared that a deduction to which the assessee is entitled in respect of any donation made to an institution or fund to which sub-section (5) applies shall not be denied merely on either or both of the following grounds, namely :—
(i)  that, subsequent to the donation, any part of the income of the institution or fund has become chargeable to tax due to non-compliance with any of the provisions of section 11, section 12 or section 12A;
(ii)  that, under clause (c) of sub-section (1) of section 13, the exemption under section 11 or section 12 is denied to the institution or fund in relation to any income arising to it from any investment referred to in clause (h) of sub-section (2) of section 13 where the aggregate of the funds invested by it in a concern referred to in the said clause (h) does not exceed five per cent of the capital of that concern.
27[Explanation 2A.— For the removal of doubts, it is hereby declared that claim of the assessee for a deduction in respect of any donation made to an institution or fund to which the provisions of sub-section (5) applies, in the return of income for any assessment year filed by him, shall be allowed on the basis of information relating to said donation furnished by the institution or fund to the prescribed income-tax authority or the person authorised by such authority, subject to verification in accordance with the risk management strategy formulated by the Board from time to time.]
Explanation 3.—In this section, "charitable purpose" does not include any purpose the whole or substantially the whole of which is of a religious nature.
Explanation 4.—For the purposes of this section, an association or institution having as its object the control, supervision, regulation or encouragement in India of such games or sports as the Central Government may, by notification in the Official Gazette, specify in this behalf, shall be deemed to be an institution established in India for a charitable purpose.
Explanation 5.—For the removal of doubts, it is hereby declared that no deduction shall be allowed under this section in respect of any donation unless such donation is of a sum of money.
</t>
        </r>
      </text>
    </comment>
    <comment ref="AJ147" authorId="0" shapeId="0" xr:uid="{4AE206D7-2B76-4864-85A6-455D7C197E00}">
      <text>
        <r>
          <rPr>
            <b/>
            <sz val="9"/>
            <color indexed="81"/>
            <rFont val="Tahoma"/>
            <family val="2"/>
          </rPr>
          <t>Deduction in respect of donations to certain funds, charitable institutions, etc :</t>
        </r>
        <r>
          <rPr>
            <sz val="9"/>
            <color indexed="81"/>
            <rFont val="Tahoma"/>
            <family val="2"/>
          </rPr>
          <t xml:space="preserve">
</t>
        </r>
        <r>
          <rPr>
            <b/>
            <sz val="9"/>
            <color indexed="81"/>
            <rFont val="Tahoma"/>
            <family val="2"/>
          </rPr>
          <t>80G</t>
        </r>
        <r>
          <rPr>
            <sz val="9"/>
            <color indexed="81"/>
            <rFont val="Tahoma"/>
            <family val="2"/>
          </rPr>
          <t xml:space="preserve">. (1) In computing the total income of an assessee, there shall be deducted, in accordance with and subject to the provisions of this section,—
(i)  in a case where the aggregate of the sums specified in sub-section (2) includes any sum or sums of the nature specified in sub-clause (i) or in sub-clause (iiia) or in sub-clause (iiiaa) or in sub-clause (iiiab) or in sub-clause (iiib) or in sub-clause (iiie) or in sub-clause (iiif) or in sub-clause (iiig) or in sub-clause (iiiga) or sub-clause (iiih) or sub-clause (iiiha) or sub-clause (iiihb) or sub-clause (iiihc) or sub-clause (iiihd) or sub-clause (iiihe) or sub-clause (iiihf) or sub-clause (iiihg) or sub-clause (iiihh) or sub-clause (iiihi) or sub-clause (iiihj) or sub-clause (iiihk) or sub-clause (iiihl) or sub-clause (iiihm) or in sub-clause (vii) of clause (a) or in clause (c) or in clause (d) thereof, an amount equal to the whole of the sum or, as the case may be, sums of such nature plus fifty per cent of the balance of such aggregate; and
(ii)  in any other case, an amount equal to fifty per cent of the aggregate of the sums specified in sub-section (2).]
(2) The sums referred to in sub-section (1) shall be the following, namely :—
(a)  any sums paid by the assessee in the previous year as donations to—
  (i)  the National Defence Fund set up by the Central Government; or (ii)  the Jawaharlal Nehru Memorial Fund referred to in the Deed of Declaration of Trust adopted by the National Committee at its meeting held on the 17th day of August, 1964; or (iii)  the Prime Minister's Drought Relief Fund; or (iiia) the Prime Minister's National Relief Fund 24[or the Prime Minister's Citizen Assistance and Relief in Emergency Situations Fund (PM CARES FUND)]; or (iiiaa) the Prime Minister's Armenia Earthquake Relief Fund; or (iiiab) the Africa (Public Contributions - India) Fund; or (iiib) the National Children's Fund; or (iiic) the Indira Gandhi Memorial Trust, the deed of declaration in respect whereof was registered at New Delhi on the 21st day of February, 1985; or(iiid) the Rajiv Gandhi Foundation, the deed of declaration in respect whereof was registered at New Delhi on the 21st day of June, 1991; or(iiie) the National Foundation for Communal Harmony; or
(iiif) a University or any educational institution of national eminence as may be approved by the prescribed authority in this behalf; or (iiig) the Maharashtra Chief Minister's Relief Fund during the period beginning on the 1st day of October, 1993 and ending on the 6th day of October, 1993 or to the Chief Minister's Earthquake Relief Fund, Maharashtra; or (iiiga) any fund set up by the State Government of Gujarat exclusively for providing relief to the victims of earthquake in Gujarat; or(iiih) any Zila Saksharta Samiti constituted in any district under the chairmanship of the Collector of that district for the purposes of improvement of primary education in villages and towns in such district and for literacy and post-literacy activities.
Explanation.—For the purposes of this sub-clause, "town" means a town which has a population not exceeding one lakh according to the last preceding census of which the relevant figures have been published before the first day of the previous year ; or
(iiiha) the National Blood Transfusion Council or to any State Blood Transfusion Council which has its sole object the control, supervision, regulation or encouragement in India of the services related to operation and requirements of blood banks.
Explanation.—For the purposes of this sub-clause,—
(a)  "National Blood Transfusion Council" means a society registered under the Societies Registration Act, 1860 (21 of 1860) and has an officer not below the rank of an Additional Secretary to the Government of India dealing with the AIDS Control Project as its Chairman, by whatever name called;
(b)  "State Blood Transfusion Council" means a society registered, in consultation with the National Blood Transfusion Council, under the Societies Registration Act, 1860 (21 of 1860) or under any law corresponding to that Act in force in any part of India and has Secretary to the Government of that State dealing with the Department of Health, as its Chairman, by whatever name called; or
(iiihb) any fund set up by a State Government to provide medical relief to the poor; or
(iiihc) the Army Central Welfare Fund or the Indian Naval Benevolent Fund or the Air Force Central Welfare Fund established by the armed forces of the Union for the welfare of the past and present members of such forces or their dependants; or
(iiihd) the Andhra Pradesh Chief Minister's Cyclone Relief Fund, 1996; or
(iiihe) the National Illness Assistance Fund; or
(iiihf) the Chief Minister's Relief Fund or the Lieutenant Governor's Relief Fund in respect of any State or Union territory, as the case may be :
Provided that such Fund is—
(a)  the only Fund of its kind established in the State or the Union territory, as the case may be;
(b)  under the overall control of the Chief Secretary or the Department of Finance of the State or the Union territory, as the case may be;
(c)  administered in such manner as may be specified by the State Government or the Lieutenant Governor, as the case may be; or
(iiihg) the National Sports Fund to be set up by the Central Government; or
(iiihh) the National Cultural Fund set up by the Central Government; or
(iiihi) the Fund for Technology Development and Application set up by the Central Government; or
(iiihj) the National Trust for Welfare of Persons with Autism, Cerebral Palsy, Mental Retardation and Multiple Disabilities constituted under sub-section (1) of section 3 of the National Trust for Welfare of Persons with Autism, Cerebral Palsy, Mental Retardation and Multiple Disabilities Act, 1999 (44 of 1999); or
(iiihk) the Swachh Bharat Kosh, set up by the Central Government, other than the sum spent by the assessee in pursuance of Corporate Social Responsibility under sub-section (5) of section 135 of the Companies Act, 2013 (18 of 2013); or
(iiihl) the Clean Ganga Fund, set up by the Central Government, where such assessee is a resident and such sum is other than the sum spent by the assessee in pursuance of Corporate Social Responsibility under sub-section (5) of section 135 of the Companies Act, 2013 (18 of 2013); or
(iiihm) the National Fund for Control of Drug Abuse constituted under section 7A of the Narcotic Drugs and Psychotropic Substances Act, 1985 (61 of 1985); or
(iv)  any other fund or any institution to which this section applies; or
(v)  the Government or any local authority, to be utilised for any charitable purpose other than the purpose of promoting family planning; or
(vi)  an authority constituted in India by or under any law enacted either for the purpose of dealing with and satisfying the need for housing accommodation or for the purpose of planning, development or improvement of cities, towns and villages, or for both;
(via) any corporation referred to in clause (26BB) of section 10; or
(vii) the Government or to any such local authority, institution or association as may be approved in this behalf by the Central Government, to be utilised for the purpose of promoting family planning;
(b)  any sums paid by the assessee in the previous year as donations for the renovation or repair of any such temple, mosque, gurdwara, church or other place as is notified by the Central Government in the Official Gazette to be of historic, archaeological or artistic importance or to be a place of public worship of renown throughout any State or States;
(c)  any sums paid by the assessee, being a company, in the previous year as donations to the Indian Olympic Association or to any other association or institution established in India, as the Central Government may, having regard to the prescribed guidelines, by notification in the Official Gazette, specify in this behalf for—
  (i)  the development of infrastructure for sports and games; or
 (ii)  the sponsorship of sports and games,
in India;
(d) any sums paid by the assessee, during the period beginning on the 26th day of January, 2001 and ending on the 30th day of September, 2001, to any trust, institution or fund to which this section applies for providing relief to the victims of earthquake in Gujarat.
(3) [Omitted by the Finance Act, 1994, w.e.f. 1-4-1994.]
(4) Where the aggregate of the sums referred to in sub-clauses (iv), (v), (vi) , (via) and (vii) of clause (a) and in clauses (b) and (c) of sub-section (2) exceeds ten per cent of the gross total income (as reduced by any portion thereof on which income-tax is not payable under any provision of this Act and by any amount in respect of which the assessee is entitled to a deduction under any other provision of this Chapter), then the amount in excess of ten per cent of the gross total income shall be ignored for the purpose of computing the aggregate of the sums in respect of which deduction is to be allowed under sub-section (1).
(5) This section applies to donations to any institution or fund referred to in sub-clause (iv) of clause (a) of sub-section (2), only if it is established in India for a charitable purpose and if it fulfils the following conditions, namely :—
(i)  where the institution or fund derives any income, such income would not be liable to inclusion in its total income under the provisions of sections 11 and 12 or clause (23AA) or clause (23C) of section 10 :
Provided that where an institution or fund derives any income, being profits and gains of business, the condition that such income would not be liable to inclusion in its total income under the provisions of section 11 shall not apply in relation to such income, if—
 (a)  the institution or fund maintains separate books of account in respect of such business;
 (b)  the donations made to the institution or fund are not used by it, directly or indirectly, for the purposes of such business; and
 (c)  the institution or fund issues to a person making the donation a certificate to the effect that it maintains separate books of account in respect of such business and that the donations received by it will not be used, directly or indirectly, for the purposes of such business;
(ii) the instrument under which the institution or fund is constituted does not, or the rules governing the institution or fund do not, contain any provision for the transfer or application at any time of the whole or any part of the income or assets of the institution or fund for any purpose other than a charitable purpose;
(iii) the institution or fund is not expressed to be for the benefit of any particular religious community or caste;
(iv) the institution or fund maintains regular accounts of its receipts and expenditure;
(v) the institution or fund is either constituted as a public charitable trust or is registered under the Societies Registration Act, 1860 (21 of 1860), or under any law corresponding to that Act in force in any part of India or under section 25 of the Companies Act, 1956 (1 of 1956), or is a University established by law, or is any other educational institution recognised by the Government or by a University established by law, or affiliated to any University established by law, or is an institution financed wholly or in part by the Government or a local authority;
(vi) in relation to donations made after the 31st day of March, 1992, the institution or fund is for the time being 25[approved by the Principal Commissioner or Commissioner;]
(vii) where any institution or fund had been approved under clause (vi) for the previous year beginning on the 1st day of April, 2007 and ending on the 31st day of March, 2008, such institution or fund shall, for the purposes of this section and notwithstanding anything contained in the proviso to clause (15) of section 2, be deemed to have been,—
 (a)  established for charitable purposes for the previous year beginning on the 1st day of April, 2008 and ending on the 31st day of March, 2009; and
 (b)  approved under the said clause (vi) for the previous year beginning on the 1st day of April, 2008 and ending on the 31st day of March, 2009;
26[(viii) the institution or fund prepares such statement for such period as may be prescribed and deliver or cause to be delivered to the prescribed income-tax authority or the person authorised by such authority such statement in such form and verified in such manner and setting forth such particulars and within such time as may be prescribed:
Provided that the institution or fund may also deliver to the said prescribed authority a correction statement for rectification of any mistake or to add, delete or update the information furnished in the statement delivered under this sub-section in such form and verified in such manner as may be prescribed; and
(ix) the institution or fund furnishes to the donor, a certificate specifying the amount of donation in such manner, containing such particulars and within such time from the date of receipt of donation, as may be prescribed:
Provided that the institution or fund referred to in clause (vi) shall make an application in the prescribed form and manner to the Principal Commissioner or Commissioner, for grant of approval,—
  (i)  where the institution or fund is approved under clause (vi) [as it stood immediately before its amendment by the Finance Act, 2020], within three months from the date on which this proviso has come into force;
 (ii)  where the institution or fund is approved and the period of such approval is due to expire, at least six months prior to expiry of the said period;
 (iii)  where the institution or fund has been provisionally approved, at least six months prior to expiry of the period of the provisional approval or within six months of commencement of its activities, whichever is earlier;
(iv)  in any other case, at least one month prior to commencement of the previous year relevant to the assessment year from which the said approval is sought:
Provided further that the Principal Commissioner or Commissioner, on receipt of an application made under the first proviso, shall,—
  (i)  where the application is made under clause (i) of the said proviso, pass an order in writing granting it approval for a period of five years;
 (ii)  where the application is made under clause (ii) or clause (iii) of the said proviso,—
 (a)  call for such documents or information from it or make such inquiries as he thinks necessary in order to satisfy himself about—
(A) the genuineness of activities of such institution or fund; and
(B) the fulfilment of all the conditions laid down in clauses (i) to (v); and
(b)  after satisfying himself about the genuineness of activities under item (A), and the fulfilment of all the conditions under item (B), of sub-clause (a),—
(A)  pass an order in writing granting it approval for a period of five years;
(B)  if he is not so satisfied, pass an order in writing rejecting such application and also cancelling its approval after affording it a reasonable opportunity of being heard;
 (iii)  where the application is made under clause (iv) of the said proviso, pass an order in writing granting it approval provisionally for a period of three years from the assessment year from which the registration is sought,
and send a copy of such order to the institution or fund:
Provided also that the order under clause (i), sub-clause (b) of clause (ii) and clause (iii) of the first proviso shall be passed in such form and manner as may be prescribed, before expiry of the period of three months, six months and one month, respectively, calculated from the end of the month in which the application was received:
Provided also that the approval granted under the second proviso shall apply to an institution or fund, where the application is made under—
(a)  clause (i) of the first proviso, from the assessment year from which approval was earlier granted to such institution or fund;
(b)  clause (iii) of the first proviso, from the first of the assessment years for which such institution or fund was provisionally approved;
(c)  in any other case, from the assessment year immediately following the financial year in which such application is made.]
(5A) Where a deduction under this section is claimed and allowed for any assessment year in respect of any sum specified in sub-section (2), the sum in respect of which deduction is so allowed shall not qualify for deduction under any other provision of this Act for the same or any other assessment year.
(5B) Notwithstanding anything contained in clause (ii) of sub-section (5) and Explanation 3, an institution or fund which incurs expenditure, during any previous year, which is of a religious nature for an amount not exceeding five per cent of its total income in that previous year shall be deemed to be an institution or fund to which the provisions of this section apply.
(5C) This section applies in relation to amounts referred to in clause (d) of sub-section (2) only if the trust or institution or fund is established in India for a charitable purpose and it fulfils the following conditions, namely :—
 (i)  it is approved in terms of clause (vi) of sub-section (5);
(ii)  it maintains separate accounts of income and expenditure for providing relief to the victims of earthquake in Gujarat;
(iii) the donations made to the trust or institution or fund are applied only for providing relief to the earthquake victims of Gujarat on or before the 31st day of March, 2004;
(iv) the amount of donation remaining unutilised on the 31st day of March, 2004 is transferred to the Prime Minister's National Relief Fund on or before the 31st day of March, 2004;
(v) it renders accounts of income and expenditure to such authority and in such manner as may be prescribed, on or before the 30th day of June, 2004.
(5D) No deduction shall be allowed under this section in respect of donation of any sum exceeding two thousand rupees unless such sum is paid by any mode other than cash.
27[(5E) All applications, pending before the Commissioner on which no order has been passed under clause (vi) of sub-section (5) before the date on which this sub-section has come into force, shall be deemed to be applications made under clause (iv) of the first proviso to sub-section (5) on that date.]
(6) [***]
Explanation 1.—An institution or fund established for the benefit of Scheduled Castes, backward classes, Scheduled Tribes or of women and children shall not be deemed to be an institution or fund expressed to be for the benefit of a religious community or caste within the meaning of clause (iii) of sub-section (5).
Explanation 2.—For the removal of doubts, it is hereby declared that a deduction to which the assessee is entitled in respect of any donation made to an institution or fund to which sub-section (5) applies shall not be denied merely on either or both of the following grounds, namely :—
(i)  that, subsequent to the donation, any part of the income of the institution or fund has become chargeable to tax due to non-compliance with any of the provisions of section 11, section 12 or section 12A;
(ii)  that, under clause (c) of sub-section (1) of section 13, the exemption under section 11 or section 12 is denied to the institution or fund in relation to any income arising to it from any investment referred to in clause (h) of sub-section (2) of section 13 where the aggregate of the funds invested by it in a concern referred to in the said clause (h) does not exceed five per cent of the capital of that concern.
27[Explanation 2A.— For the removal of doubts, it is hereby declared that claim of the assessee for a deduction in respect of any donation made to an institution or fund to which the provisions of sub-section (5) applies, in the return of income for any assessment year filed by him, shall be allowed on the basis of information relating to said donation furnished by the institution or fund to the prescribed income-tax authority or the person authorised by such authority, subject to verification in accordance with the risk management strategy formulated by the Board from time to time.]
Explanation 3.—In this section, "charitable purpose" does not include any purpose the whole or substantially the whole of which is of a religious nature.
Explanation 4.—For the purposes of this section, an association or institution having as its object the control, supervision, regulation or encouragement in India of such games or sports as the Central Government may, by notification in the Official Gazette, specify in this behalf, shall be deemed to be an institution established in India for a charitable purpose.
Explanation 5.—For the removal of doubts, it is hereby declared that no deduction shall be allowed under this section in respect of any donation unless such donation is of a sum of money.
</t>
        </r>
      </text>
    </comment>
    <comment ref="AJ149" authorId="0" shapeId="0" xr:uid="{00000000-0006-0000-0000-00001E000000}">
      <text>
        <r>
          <rPr>
            <b/>
            <sz val="9"/>
            <color indexed="81"/>
            <rFont val="Tahoma"/>
            <family val="2"/>
          </rPr>
          <t>Deductions in respect of rents paid :</t>
        </r>
        <r>
          <rPr>
            <sz val="9"/>
            <color indexed="81"/>
            <rFont val="Tahoma"/>
            <family val="2"/>
          </rPr>
          <t xml:space="preserve">
</t>
        </r>
        <r>
          <rPr>
            <b/>
            <sz val="9"/>
            <color indexed="81"/>
            <rFont val="Tahoma"/>
            <family val="2"/>
          </rPr>
          <t>80GG</t>
        </r>
        <r>
          <rPr>
            <sz val="9"/>
            <color indexed="81"/>
            <rFont val="Tahoma"/>
            <family val="2"/>
          </rPr>
          <t xml:space="preserve">. In computing the total income of an assessee, not being an assessee having any income falling within </t>
        </r>
        <r>
          <rPr>
            <b/>
            <sz val="9"/>
            <color indexed="81"/>
            <rFont val="Tahoma"/>
            <family val="2"/>
          </rPr>
          <t>clause (13A) of section 10</t>
        </r>
        <r>
          <rPr>
            <sz val="9"/>
            <color indexed="81"/>
            <rFont val="Tahoma"/>
            <family val="2"/>
          </rPr>
          <t xml:space="preserve">, there shall be deducted any expenditure incurred by him in </t>
        </r>
        <r>
          <rPr>
            <b/>
            <sz val="9"/>
            <color indexed="81"/>
            <rFont val="Tahoma"/>
            <family val="2"/>
          </rPr>
          <t xml:space="preserve">excess of ten per cent </t>
        </r>
        <r>
          <rPr>
            <sz val="9"/>
            <color indexed="81"/>
            <rFont val="Tahoma"/>
            <family val="2"/>
          </rPr>
          <t xml:space="preserve">of his total income towards </t>
        </r>
        <r>
          <rPr>
            <b/>
            <sz val="9"/>
            <color indexed="81"/>
            <rFont val="Tahoma"/>
            <family val="2"/>
          </rPr>
          <t>payment of rent</t>
        </r>
        <r>
          <rPr>
            <sz val="9"/>
            <color indexed="81"/>
            <rFont val="Tahoma"/>
            <family val="2"/>
          </rPr>
          <t xml:space="preserve"> (by whatever name called) in respect of any furnished or unfurnished accommodation occupied by him for the purposes of his own residence, to the extent to which such excess expenditure does not </t>
        </r>
        <r>
          <rPr>
            <b/>
            <sz val="9"/>
            <color indexed="81"/>
            <rFont val="Tahoma"/>
            <family val="2"/>
          </rPr>
          <t>exceed five thousand rupees per month or twenty-five per cent of his total income for the year</t>
        </r>
        <r>
          <rPr>
            <sz val="9"/>
            <color indexed="81"/>
            <rFont val="Tahoma"/>
            <family val="2"/>
          </rPr>
          <t xml:space="preserve">, whichever </t>
        </r>
        <r>
          <rPr>
            <b/>
            <sz val="9"/>
            <color indexed="81"/>
            <rFont val="Tahoma"/>
            <family val="2"/>
          </rPr>
          <t>is less</t>
        </r>
        <r>
          <rPr>
            <sz val="9"/>
            <color indexed="81"/>
            <rFont val="Tahoma"/>
            <family val="2"/>
          </rPr>
          <t xml:space="preserve">, and subject to such other conditions or limitations as may be prescribed, having regard to the area or place in which such accommodation is situated and other relevant considerations :
Provided that nothing in this section shall apply to an assessee in any case where any residential accommodation is—
(i)  owned by the assessee or by his spouse or minor child or, where such assessee is a member of a Hindu undivided family, by such family at the place where he ordinarily resides or performs duties of his office or employment or carries on his business or profession; or
(ii)  owned by the assessee at any other place, being accommodation in the occupation of the assessee, the value of which is to be determined under clause (a) of sub-section (2) or, as the case may be, clause (a) of sub-section (4) of section 23.
Explanation.—In this section, the expressions "ten per cent of his total income" and "twenty-five per cent of his total income" shall mean ten per cent or twenty-five per cent, as the case may be, of the assessee's total income before allowing deduction for any expenditure under this section.
</t>
        </r>
        <r>
          <rPr>
            <b/>
            <sz val="9"/>
            <color indexed="81"/>
            <rFont val="Tahoma"/>
            <family val="2"/>
          </rPr>
          <t xml:space="preserve"> (13A) of section 10:- any special allowance specifically granted to an assessee by his employer to meet expenditure actually incurred on payment of rent (by whatever name called) in respect of residential accommodation occupied by the assessee, to such extent as may be prescribed having regard to the area or place in which such accommodation is situate and other relevant considerations.
Explanation.—For the removal of doubts, it is hereby declared that nothing contained in this clause shall apply in a case where—
(a) the residential accommodation occupied by the assessee is owned by him ; or
(b) the assessee has not actually incurred expenditure on payment of rent (by whatever name called) in respect of the residential accommodation occupied by him ;</t>
        </r>
      </text>
    </comment>
    <comment ref="AJ151" authorId="0" shapeId="0" xr:uid="{887896C0-852B-436F-8C79-084363C5647A}">
      <text>
        <r>
          <rPr>
            <b/>
            <sz val="9"/>
            <color indexed="81"/>
            <rFont val="Tahoma"/>
            <family val="2"/>
          </rPr>
          <t>Deduction in respect of certain donations for scientific research or rural development.</t>
        </r>
        <r>
          <rPr>
            <sz val="9"/>
            <color indexed="81"/>
            <rFont val="Tahoma"/>
            <family val="2"/>
          </rPr>
          <t xml:space="preserve">
</t>
        </r>
        <r>
          <rPr>
            <b/>
            <sz val="9"/>
            <color indexed="81"/>
            <rFont val="Tahoma"/>
            <family val="2"/>
          </rPr>
          <t>80GGA.</t>
        </r>
        <r>
          <rPr>
            <sz val="9"/>
            <color indexed="81"/>
            <rFont val="Tahoma"/>
            <family val="2"/>
          </rPr>
          <t xml:space="preserve"> (1) In computing the total income of an assessee, there shall be deducted, in accordance with and subject to the provisions of this section, the sums specified in sub-section (2).
(2) The sums referred to in sub-section (1) shall be the following, namely :—
(a) </t>
        </r>
        <r>
          <rPr>
            <b/>
            <sz val="9"/>
            <color indexed="81"/>
            <rFont val="Tahoma"/>
            <family val="2"/>
          </rPr>
          <t xml:space="preserve">any sum paid </t>
        </r>
        <r>
          <rPr>
            <sz val="9"/>
            <color indexed="81"/>
            <rFont val="Tahoma"/>
            <family val="2"/>
          </rPr>
          <t xml:space="preserve">by the assessee in the previous year to a research association which has as its object the undertaking of scientific research or to a University, college or other institution to be used for scientific research :
Provided that such association, University, college or institution is for the time being approved for the purposes of clause (ii) of sub-section (1) of section 35;
(aa) </t>
        </r>
        <r>
          <rPr>
            <b/>
            <sz val="9"/>
            <color indexed="81"/>
            <rFont val="Tahoma"/>
            <family val="2"/>
          </rPr>
          <t>any sum paid</t>
        </r>
        <r>
          <rPr>
            <sz val="9"/>
            <color indexed="81"/>
            <rFont val="Tahoma"/>
            <family val="2"/>
          </rPr>
          <t xml:space="preserve"> by the assessee in the previous year to a research association which has as its object the undertaking of research in social science or statistical research or to a University, college or other institution to be used for research in social science or statistical research :
Provided that such association, University, college or institution is for the time being approved for the purposes of clause (iii) of sub-section (1) of section 35.
Explanation.—The deduction, to which the assessee is entitled in respect of any sum paid to a research association, University, college or other institution to which clause (a) or clause (aa) applies, shall not be denied merely on the ground that, subsequent to the payment of such sum by the assessee, the approval to such association, University, college or other institution referred to in clause (a) or clause (aa), as the case may be, has been withdrawn;
(b) </t>
        </r>
        <r>
          <rPr>
            <b/>
            <sz val="9"/>
            <color indexed="81"/>
            <rFont val="Tahoma"/>
            <family val="2"/>
          </rPr>
          <t xml:space="preserve">any sum paid </t>
        </r>
        <r>
          <rPr>
            <sz val="9"/>
            <color indexed="81"/>
            <rFont val="Tahoma"/>
            <family val="2"/>
          </rPr>
          <t xml:space="preserve">by the assessee in the previous year—
  (i) to an association or institution, which has as its object the undertaking of any programme of rural development, to be used for carrying out any programme of rural development approved for the purposes of section 35CCA; or
 (ii) to an association or institution which has as its object the training of persons for implementing programmes of rural development :
Provided that the assessee furnishes the certificate referred to in sub-section (2) or, as the case may be, sub-section (2A) of section 35CCA from such association or institution.
Explanation.—The deduction, to which the assessee is entitled in respect of any sum paid to an association or institution for carrying out the programme of rural development to which this clause applies, shall not be denied merely on the ground that subsequent to the payment of such sum by the assessee, the approval granted to such programme, or as the case may be, to the association or institution has been withdrawn;
(bb) any sum paid by the assessee in the previous year to a public sector company or a local authority or to an association or institution approved by the National Committee, for carrying out any eligible project or scheme :
Provided that the assessee furnishes the certificate referred to in clause (a) of sub-section (2) of section 35AC from such public sector company or local authority or, as the case may be, association or institution.
Explanation 1.— The deduction, to which the assessee is entitled in respect of any sum paid to a public sector company, or to a local authority or to an association or institution for carrying out the eligible project or scheme referred to in section 35AC, shall not be denied merely on the ground that subsequent to the payment of such sum by the assessee,—
(a) the approval granted to such association or institution has been withdrawn; or
(b) the notification notifying the eligible project or scheme referred to in section 35AC carried out by the public sector company, or local authority or association or institution has been withdrawn.
Explanation 2.—For the purposes of this clause, the expressions "National Committee" and "eligible project or scheme" shall have the meanings respectively assigned to them in the Explanation to section 35AC;
(c) any sum paid by the assessee in any previous year ending on or before the 31st day of March, 2002 to an association or institution, which has as its object the undertaking of any programme of conservation of natural resources or of afforestation, to be used for carrying out any programme of conservation of natural resources or of afforestation approved for the purposes of section 35CCB :
Provided that the association or institution is for the time being approved for the purposes of sub-section (2) of section 35CCB;
(cc) any sum paid by the assessee in any previous year ending on or before the 31st day of March, 2002 to such fund for afforestation as is notified by the Central Government under clause (b) of sub-section (1) of section 35CCB;
(d) any sum paid by the assessee in the previous year to a rural development fund set up and notified by the Central Government for the purposes of clause (c) of sub-section (1) of section 35CCA;
(e) any sum paid by the assessee in the previous year to the National Urban Poverty Eradication Fund set up and notified by the Central Government for the purposes of clause (d) of sub-section (1) of section 35CCA.
(2A) No deduction shall be allowed under this section in respect of any sum exceeding </t>
        </r>
        <r>
          <rPr>
            <b/>
            <sz val="9"/>
            <color indexed="81"/>
            <rFont val="Tahoma"/>
            <family val="2"/>
          </rPr>
          <t>[ten]9[two]</t>
        </r>
        <r>
          <rPr>
            <sz val="9"/>
            <color indexed="81"/>
            <rFont val="Tahoma"/>
            <family val="2"/>
          </rPr>
          <t xml:space="preserve"> </t>
        </r>
        <r>
          <rPr>
            <b/>
            <sz val="9"/>
            <color indexed="81"/>
            <rFont val="Tahoma"/>
            <family val="2"/>
          </rPr>
          <t>thousand rupees</t>
        </r>
        <r>
          <rPr>
            <sz val="9"/>
            <color indexed="81"/>
            <rFont val="Tahoma"/>
            <family val="2"/>
          </rPr>
          <t xml:space="preserve"> unless such sum is paid by any mode other than cash.
(3) Notwithstanding anything contained in sub-section (1), no deduction under this section shall be allowed in the case of an assessee whose gross total income includes income which is chargeable under the head "Profits and gains of business or profession".
(4) Where a deduction under this section is claimed and allowed for any assessment year in respect of any payments of the nature specified in sub-section (2), deduction shall not be allowed in respect of such payments under any other provision of this Act for the same or any other assessment year.
10[Explanation.—For the removal of doubts, it is hereby declared that the claim of the assessee for a deduction in respect of any sum referred to in sub-section (2) in the return of income for any assessment year filed by him, shall be allowed on the basis of information relating to such sum furnished by the payee to the prescribed income-tax authority or the person authorised by such authority, subject to verification in accordance with the risk management strategy formulated by the Board from time to time.]</t>
        </r>
      </text>
    </comment>
    <comment ref="AJ153" authorId="0" shapeId="0" xr:uid="{E30A6B3A-130B-4D2D-820D-1525B6D397E9}">
      <text>
        <r>
          <rPr>
            <b/>
            <sz val="9"/>
            <color indexed="81"/>
            <rFont val="Tahoma"/>
            <family val="2"/>
          </rPr>
          <t>Deduction in respect of contributions given by any person to political parties.</t>
        </r>
        <r>
          <rPr>
            <sz val="9"/>
            <color indexed="81"/>
            <rFont val="Tahoma"/>
            <family val="2"/>
          </rPr>
          <t xml:space="preserve">
</t>
        </r>
        <r>
          <rPr>
            <b/>
            <sz val="9"/>
            <color indexed="81"/>
            <rFont val="Tahoma"/>
            <family val="2"/>
          </rPr>
          <t>80GGC</t>
        </r>
        <r>
          <rPr>
            <sz val="9"/>
            <color indexed="81"/>
            <rFont val="Tahoma"/>
            <family val="2"/>
          </rPr>
          <t xml:space="preserve">. In computing the total income of an assessee, being any person, except local authority and every artificial juridical person wholly or partly funded by the Government, there shall be deducted </t>
        </r>
        <r>
          <rPr>
            <b/>
            <sz val="9"/>
            <color indexed="81"/>
            <rFont val="Tahoma"/>
            <family val="2"/>
          </rPr>
          <t>any amount of contribution</t>
        </r>
        <r>
          <rPr>
            <sz val="9"/>
            <color indexed="81"/>
            <rFont val="Tahoma"/>
            <family val="2"/>
          </rPr>
          <t xml:space="preserve"> made by him, in the previous year, to a political party or an electoral trust :
Provided that </t>
        </r>
        <r>
          <rPr>
            <b/>
            <sz val="9"/>
            <color indexed="81"/>
            <rFont val="Tahoma"/>
            <family val="2"/>
          </rPr>
          <t>no deduction</t>
        </r>
        <r>
          <rPr>
            <sz val="9"/>
            <color indexed="81"/>
            <rFont val="Tahoma"/>
            <family val="2"/>
          </rPr>
          <t xml:space="preserve"> shall be allowed under this section in respect of any </t>
        </r>
        <r>
          <rPr>
            <b/>
            <sz val="9"/>
            <color indexed="81"/>
            <rFont val="Tahoma"/>
            <family val="2"/>
          </rPr>
          <t>sum contributed by way of cash</t>
        </r>
        <r>
          <rPr>
            <sz val="9"/>
            <color indexed="81"/>
            <rFont val="Tahoma"/>
            <family val="2"/>
          </rPr>
          <t xml:space="preserve">.
Explanation.—For the purposes of sections 80GGB and 80GGC, "political party" means a political party registered under section 29A of the Representation of the People Act, 1951 (43 of 1951).
</t>
        </r>
      </text>
    </comment>
    <comment ref="AV155" authorId="0" shapeId="0" xr:uid="{00000000-0006-0000-0000-00001F000000}">
      <text>
        <r>
          <rPr>
            <b/>
            <sz val="9"/>
            <color indexed="81"/>
            <rFont val="Tahoma"/>
            <family val="2"/>
          </rPr>
          <t>Deduction in respect of interest on deposits in savings account:</t>
        </r>
        <r>
          <rPr>
            <sz val="9"/>
            <color indexed="81"/>
            <rFont val="Tahoma"/>
            <family val="2"/>
          </rPr>
          <t xml:space="preserve">
</t>
        </r>
        <r>
          <rPr>
            <b/>
            <sz val="9"/>
            <color indexed="81"/>
            <rFont val="Tahoma"/>
            <family val="2"/>
          </rPr>
          <t>80TTA</t>
        </r>
        <r>
          <rPr>
            <sz val="9"/>
            <color indexed="81"/>
            <rFont val="Tahoma"/>
            <family val="2"/>
          </rPr>
          <t xml:space="preserve">. (1) Where the gross total income of an assessee, being an individual or a Hindu undivided family, includes any income by way of interest on deposits (not being time deposits) in a savings account with—
(a) a banking company to which the Banking Regulation Act, 1949 (10 of 1949), applies (including any bank or banking institution referred to in section 51 of that Act);
(b) a co-operative society engaged in carrying on the business of banking (including a co-operative land mortgage bank or a co-operative land development bank); or
(c) a Post Office as defined in clause (k) of section 2 of the Indian Post Office Act, 1898 (6 of 1898),
there shall, in accordance with and subject to the provisions of this section, be allowed, in computing the total income of the assessee a deduction as specified hereunder, namely:—
(i) in a case where the amount of such income does not exceed in the aggregate </t>
        </r>
        <r>
          <rPr>
            <b/>
            <sz val="9"/>
            <color indexed="81"/>
            <rFont val="Tahoma"/>
            <family val="2"/>
          </rPr>
          <t>ten thousand rupees</t>
        </r>
        <r>
          <rPr>
            <sz val="9"/>
            <color indexed="81"/>
            <rFont val="Tahoma"/>
            <family val="2"/>
          </rPr>
          <t>, the whole of such amount; and
(ii) in any other case, ten thousand rupees.
(2) Where the income referred to in this section is derived from any deposit in a savings account held by, or on behalf of, a firm, an association of persons or a body of individuals, no deduction shall be allowed under this section in respect of such income in computing the total income of any partner of the firm or any member of the association or any individual of the body.
Explanation.—For the purposes of this section, "time deposits" means the deposits repayable on expiry of fixed periods.</t>
        </r>
      </text>
    </comment>
    <comment ref="AJ157" authorId="0" shapeId="0" xr:uid="{88DFF2D3-D9A3-45D1-9584-BBB32FEA6F67}">
      <text>
        <r>
          <rPr>
            <b/>
            <sz val="9"/>
            <color indexed="81"/>
            <rFont val="Tahoma"/>
            <family val="2"/>
          </rPr>
          <t>Deduction in case of a person with disability</t>
        </r>
        <r>
          <rPr>
            <sz val="9"/>
            <color indexed="81"/>
            <rFont val="Tahoma"/>
            <family val="2"/>
          </rPr>
          <t xml:space="preserve">.
</t>
        </r>
        <r>
          <rPr>
            <b/>
            <sz val="9"/>
            <color indexed="81"/>
            <rFont val="Tahoma"/>
            <family val="2"/>
          </rPr>
          <t>80U</t>
        </r>
        <r>
          <rPr>
            <sz val="9"/>
            <color indexed="81"/>
            <rFont val="Tahoma"/>
            <family val="2"/>
          </rPr>
          <t xml:space="preserve">. (1) In computing the total income of an individual, being a resident, who, at any time during the previous year, is certified by the medical authority to be a </t>
        </r>
        <r>
          <rPr>
            <b/>
            <sz val="9"/>
            <color indexed="81"/>
            <rFont val="Tahoma"/>
            <family val="2"/>
          </rPr>
          <t>person with disability</t>
        </r>
        <r>
          <rPr>
            <sz val="9"/>
            <color indexed="81"/>
            <rFont val="Tahoma"/>
            <family val="2"/>
          </rPr>
          <t xml:space="preserve">, there shall be allowed a deduction of a sum of </t>
        </r>
        <r>
          <rPr>
            <b/>
            <sz val="9"/>
            <color indexed="81"/>
            <rFont val="Tahoma"/>
            <family val="2"/>
          </rPr>
          <t>seventy-five thousand rupees</t>
        </r>
        <r>
          <rPr>
            <sz val="9"/>
            <color indexed="81"/>
            <rFont val="Tahoma"/>
            <family val="2"/>
          </rPr>
          <t xml:space="preserve">:
Provided that where such individual is a </t>
        </r>
        <r>
          <rPr>
            <b/>
            <sz val="9"/>
            <color indexed="81"/>
            <rFont val="Tahoma"/>
            <family val="2"/>
          </rPr>
          <t>person with severe disability</t>
        </r>
        <r>
          <rPr>
            <sz val="9"/>
            <color indexed="81"/>
            <rFont val="Tahoma"/>
            <family val="2"/>
          </rPr>
          <t>, the provisions of this sub-section shall have effect as if for the words "seventy-five thousand rupees", the words "</t>
        </r>
        <r>
          <rPr>
            <b/>
            <sz val="9"/>
            <color indexed="81"/>
            <rFont val="Tahoma"/>
            <family val="2"/>
          </rPr>
          <t>one hundred and twenty-five thousand rupees</t>
        </r>
        <r>
          <rPr>
            <sz val="9"/>
            <color indexed="81"/>
            <rFont val="Tahoma"/>
            <family val="2"/>
          </rPr>
          <t>" had been substituted.
(2) Every individual claiming a deduction under this section shall furnish a copy of the certificate issued by the medical authority in the form and manner, as may be prescribed84, along with the return of income under section 139, in respect of the assessment year for which the deduction is claimed :
Provided that where the condition of disability requires reassessment of its extent after a period stipulated in the aforesaid certificate, no deduction under this section shall be allowed for any assessment year relating to any previous year beginning after the expiry of the previous year during which the aforesaid certificate of disability had expired, unless a new certificate is obtained from the medical authority in the form and manner, as may be prescribed84a, and a copy thereof is furnished along with the return of income under section 139.
Explanation.—For the purposes of this section,—
(a) "disability" shall have the meaning assigned to it in clause (i) of section 2 of the Persons with Disabilities (Equal Opportunities, Protection of Rights and Full Participation) Act, 1995 (1 of 1996), and includes "autism", "cerebral palsy" and "multiple disabilities" referred to in clauses (a), (c) and (h) of section 2 of the National Trust for Welfare of Persons with Autism, Cerebral Palsy, Mental Retardation and Multiple Disabilities Act, 1999 (44 of 1999);
(b) "medical authority" means the medical authority as referred to in clause (p) of section 2 of the Persons with Disabilities (Equal Opportunities, Protection of Rights and Full Participation) Act, 1995 (1 of 1996), or such other medical authority as may, by notification, be specified by the Central Government for certifying "autism", "cerebral palsy", "multiple disabilities", "person with disability" and "severe disability" referred to in clauses (a), (c), (h), (j) and (o) of section 2 of the National Trust for Welfare of Persons with Autism, Cerebral Palsy, Mental Retardation and Multiple Disabilities Act, 1999 (44 of 1999);
(c) "person with disability" means a person referred to in clause (t) of section 2 of the Persons with Disabilities (Equal Opportunities, Protection of Rights and Full Participation) Act, 1995 (1 of 1996), or clause (j) of section 2 of the National Trust for Welfare of Persons with Autism, Cerebral Palsy, Mental Retardation and Multiple Disabilities Act, 1999 (44 of 1999);
(d) "person with severe disability" means—
  (i) a person with eighty per cent or more of one or more disabilities, as referred to in sub-section (4) of section 56 of the Persons with Disabilities (Equal Opportunities, Protection of Rights and Full Participation) Act, 1995 (1 of 1996); or</t>
        </r>
        <r>
          <rPr>
            <b/>
            <sz val="9"/>
            <color indexed="81"/>
            <rFont val="Tahoma"/>
            <family val="2"/>
          </rPr>
          <t xml:space="preserve">
 (ii) a person with severe disability referred to in clause (o) of section 2 of the National Trust for Welfare of Persons with Autism, Cerebral Palsy, Mental Retardation and Multiple Disabilities Act, 1999 (44 of 1999).</t>
        </r>
      </text>
    </comment>
    <comment ref="AV161" authorId="0" shapeId="0" xr:uid="{00000000-0006-0000-0000-000020000000}">
      <text>
        <r>
          <rPr>
            <b/>
            <sz val="9"/>
            <color indexed="81"/>
            <rFont val="Tahoma"/>
            <family val="2"/>
          </rPr>
          <t>Rounding off of income :</t>
        </r>
        <r>
          <rPr>
            <sz val="9"/>
            <color indexed="81"/>
            <rFont val="Tahoma"/>
            <family val="2"/>
          </rPr>
          <t xml:space="preserve">
</t>
        </r>
        <r>
          <rPr>
            <b/>
            <sz val="9"/>
            <color indexed="81"/>
            <rFont val="Tahoma"/>
            <family val="2"/>
          </rPr>
          <t>288A</t>
        </r>
        <r>
          <rPr>
            <sz val="9"/>
            <color indexed="81"/>
            <rFont val="Tahoma"/>
            <family val="2"/>
          </rPr>
          <t>. The amount of</t>
        </r>
        <r>
          <rPr>
            <b/>
            <sz val="9"/>
            <color indexed="81"/>
            <rFont val="Tahoma"/>
            <family val="2"/>
          </rPr>
          <t xml:space="preserve"> total income</t>
        </r>
        <r>
          <rPr>
            <sz val="9"/>
            <color indexed="81"/>
            <rFont val="Tahoma"/>
            <family val="2"/>
          </rPr>
          <t xml:space="preserve"> computed in accordance with the foregoing provisions of this Act shall be rounded off to the </t>
        </r>
        <r>
          <rPr>
            <b/>
            <sz val="9"/>
            <color indexed="81"/>
            <rFont val="Tahoma"/>
            <family val="2"/>
          </rPr>
          <t>nearest multiple of ten rupees</t>
        </r>
        <r>
          <rPr>
            <sz val="9"/>
            <color indexed="81"/>
            <rFont val="Tahoma"/>
            <family val="2"/>
          </rPr>
          <t xml:space="preserve"> and for this purpose any part of a rupee consisting of paise shall be ignored and thereafter if such amount is not a multiple of ten, then, if the last figure in that amount is five or more, the amount shall be increased to the next higher amount which is a multiple of ten and if the last figure is less than five, the amount shall be reduced to the next lower amount which is a multiple of ten; and the amount so rounded off shall be deemed to be the total income of the assessee for the purposes of this Act.
</t>
        </r>
      </text>
    </comment>
    <comment ref="AV167" authorId="0" shapeId="0" xr:uid="{00000000-0006-0000-0000-000021000000}">
      <text>
        <r>
          <rPr>
            <b/>
            <sz val="9"/>
            <color indexed="81"/>
            <rFont val="Tahoma"/>
            <family val="2"/>
          </rPr>
          <t xml:space="preserve">Rebate of income-tax in case of certain individuals.
87A. </t>
        </r>
        <r>
          <rPr>
            <sz val="9"/>
            <color indexed="81"/>
            <rFont val="Tahoma"/>
            <family val="2"/>
          </rPr>
          <t xml:space="preserve">An assessee, being an individual resident in India, whose total income </t>
        </r>
        <r>
          <rPr>
            <b/>
            <sz val="9"/>
            <color indexed="81"/>
            <rFont val="Tahoma"/>
            <family val="2"/>
          </rPr>
          <t>does not exceed</t>
        </r>
        <r>
          <rPr>
            <sz val="9"/>
            <color indexed="81"/>
            <rFont val="Tahoma"/>
            <family val="2"/>
          </rPr>
          <t xml:space="preserve"> </t>
        </r>
        <r>
          <rPr>
            <b/>
            <sz val="9"/>
            <color indexed="81"/>
            <rFont val="Tahoma"/>
            <family val="2"/>
          </rPr>
          <t>five hundred thousand rupees</t>
        </r>
        <r>
          <rPr>
            <sz val="9"/>
            <color indexed="81"/>
            <rFont val="Tahoma"/>
            <family val="2"/>
          </rPr>
          <t xml:space="preserve">, shall be entitled to a deduction, from the amount of income-tax (as computed before allowing the deductions under this Chapter) on his total income with which he is chargeable for any assessment year, of an amount </t>
        </r>
        <r>
          <rPr>
            <b/>
            <sz val="9"/>
            <color indexed="81"/>
            <rFont val="Tahoma"/>
            <family val="2"/>
          </rPr>
          <t>equal to hundred per cent</t>
        </r>
        <r>
          <rPr>
            <sz val="9"/>
            <color indexed="81"/>
            <rFont val="Tahoma"/>
            <family val="2"/>
          </rPr>
          <t xml:space="preserve"> of such income-tax or an amount of </t>
        </r>
        <r>
          <rPr>
            <b/>
            <sz val="9"/>
            <color indexed="81"/>
            <rFont val="Tahoma"/>
            <family val="2"/>
          </rPr>
          <t>twelve thousand and five hundred rupees</t>
        </r>
        <r>
          <rPr>
            <sz val="9"/>
            <color indexed="81"/>
            <rFont val="Tahoma"/>
            <family val="2"/>
          </rPr>
          <t xml:space="preserve">, whichever is less.
</t>
        </r>
      </text>
    </comment>
    <comment ref="AV171" authorId="0" shapeId="0" xr:uid="{00000000-0006-0000-0000-000022000000}">
      <text>
        <r>
          <rPr>
            <b/>
            <sz val="9"/>
            <color indexed="81"/>
            <rFont val="Tahoma"/>
            <family val="2"/>
          </rPr>
          <t>Health and Education Cess</t>
        </r>
        <r>
          <rPr>
            <sz val="9"/>
            <color indexed="81"/>
            <rFont val="Tahoma"/>
            <family val="2"/>
          </rPr>
          <t xml:space="preserve"> : 
Health and Education Cess is levied at the rate of </t>
        </r>
        <r>
          <rPr>
            <b/>
            <sz val="9"/>
            <color indexed="81"/>
            <rFont val="Tahoma"/>
            <family val="2"/>
          </rPr>
          <t>4%</t>
        </r>
        <r>
          <rPr>
            <sz val="9"/>
            <color indexed="81"/>
            <rFont val="Tahoma"/>
            <family val="2"/>
          </rPr>
          <t xml:space="preserve"> on the amount of income-tax plus surcharge.</t>
        </r>
      </text>
    </comment>
    <comment ref="AV175" authorId="0" shapeId="0" xr:uid="{00000000-0006-0000-0000-000023000000}">
      <text>
        <r>
          <rPr>
            <b/>
            <sz val="9"/>
            <color indexed="81"/>
            <rFont val="Tahoma"/>
            <family val="2"/>
          </rPr>
          <t>Relief when salary, etc., is paid in arrears or in advance :</t>
        </r>
        <r>
          <rPr>
            <sz val="9"/>
            <color indexed="81"/>
            <rFont val="Tahoma"/>
            <family val="2"/>
          </rPr>
          <t xml:space="preserve">
</t>
        </r>
        <r>
          <rPr>
            <b/>
            <sz val="9"/>
            <color indexed="81"/>
            <rFont val="Tahoma"/>
            <family val="2"/>
          </rPr>
          <t>89.</t>
        </r>
        <r>
          <rPr>
            <sz val="9"/>
            <color indexed="81"/>
            <rFont val="Tahoma"/>
            <family val="2"/>
          </rPr>
          <t xml:space="preserve"> Where an assessee is in receipt of a sum in the nature of salary, being paid in arrears or in advance or is in receipt, in any one financial year, of salary for more than twelve months or a payment which under the provisions of clause (3) of section 17 is a profit in lieu of salary, or is in receipt of a sum in the nature of family pension as defined in the Explanation to clause (iia) of section 57, being paid in arrears, due to which his total income is assessed at a rate higher than that at which it would otherwise have been assessed, the Assessing Officer shall, on an application made to him in this behalf, grant such relief as may be prescribed:
Provided that no such relief shall be granted in respect of any amount received or receivable by an assessee on his voluntary retirement or termination of his service, in accordance with any scheme or schemes of voluntary retirement or in the case of a public sector company referred to in sub-clause (i) of clause (10C) of section 10, a scheme of voluntary separation, if an exemption in respect of any amount received or receivable on such voluntary retirement or termination of his service or voluntary separation has been claimed by the assessee under clause (10C) of section 10 in respect of such, or any other, assessment year.</t>
        </r>
      </text>
    </comment>
    <comment ref="AV177" authorId="0" shapeId="0" xr:uid="{00000000-0006-0000-0000-000024000000}">
      <text>
        <r>
          <rPr>
            <b/>
            <sz val="9"/>
            <color indexed="81"/>
            <rFont val="Tahoma"/>
            <family val="2"/>
          </rPr>
          <t>Rounding off amount payable and refund due :</t>
        </r>
        <r>
          <rPr>
            <sz val="9"/>
            <color indexed="81"/>
            <rFont val="Tahoma"/>
            <family val="2"/>
          </rPr>
          <t xml:space="preserve">
</t>
        </r>
        <r>
          <rPr>
            <b/>
            <sz val="9"/>
            <color indexed="81"/>
            <rFont val="Tahoma"/>
            <family val="2"/>
          </rPr>
          <t>288B</t>
        </r>
        <r>
          <rPr>
            <sz val="9"/>
            <color indexed="81"/>
            <rFont val="Tahoma"/>
            <family val="2"/>
          </rPr>
          <t xml:space="preserve">. Any </t>
        </r>
        <r>
          <rPr>
            <b/>
            <sz val="9"/>
            <color indexed="81"/>
            <rFont val="Tahoma"/>
            <family val="2"/>
          </rPr>
          <t>amount payable, and the amount of refund due</t>
        </r>
        <r>
          <rPr>
            <sz val="9"/>
            <color indexed="81"/>
            <rFont val="Tahoma"/>
            <family val="2"/>
          </rPr>
          <t xml:space="preserve">, under the provisions of this Act shall be rounded off to the nearest </t>
        </r>
        <r>
          <rPr>
            <b/>
            <sz val="9"/>
            <color indexed="81"/>
            <rFont val="Tahoma"/>
            <family val="2"/>
          </rPr>
          <t>multiple of ten rupees</t>
        </r>
        <r>
          <rPr>
            <sz val="9"/>
            <color indexed="81"/>
            <rFont val="Tahoma"/>
            <family val="2"/>
          </rPr>
          <t xml:space="preserve"> and for this purpose any part of a rupee consisting of paise shall be ignored and thereafter if such amount is not a multiple of ten, then, if the last figure in that amount is five or more, the amount shall be increased to the next higher amount which is a multiple of ten and if the last figure is less than five, the amount shall be reduced to the next lower amount which is a multiple of ten.
</t>
        </r>
      </text>
    </comment>
    <comment ref="AV188" authorId="0" shapeId="0" xr:uid="{00000000-0006-0000-0000-000025000000}">
      <text>
        <r>
          <rPr>
            <b/>
            <sz val="9"/>
            <color indexed="81"/>
            <rFont val="Tahoma"/>
            <family val="2"/>
          </rPr>
          <t>Rounding off amount payable and refund due</t>
        </r>
        <r>
          <rPr>
            <sz val="9"/>
            <color indexed="81"/>
            <rFont val="Tahoma"/>
            <family val="2"/>
          </rPr>
          <t xml:space="preserve"> :
</t>
        </r>
        <r>
          <rPr>
            <b/>
            <sz val="9"/>
            <color indexed="81"/>
            <rFont val="Tahoma"/>
            <family val="2"/>
          </rPr>
          <t>288B</t>
        </r>
        <r>
          <rPr>
            <sz val="9"/>
            <color indexed="81"/>
            <rFont val="Tahoma"/>
            <family val="2"/>
          </rPr>
          <t xml:space="preserve">. Any </t>
        </r>
        <r>
          <rPr>
            <b/>
            <sz val="9"/>
            <color indexed="81"/>
            <rFont val="Tahoma"/>
            <family val="2"/>
          </rPr>
          <t>amount payable, and the amount of refund due</t>
        </r>
        <r>
          <rPr>
            <sz val="9"/>
            <color indexed="81"/>
            <rFont val="Tahoma"/>
            <family val="2"/>
          </rPr>
          <t>, under the provisions of this Act shall be rounded off to the</t>
        </r>
        <r>
          <rPr>
            <b/>
            <sz val="9"/>
            <color indexed="81"/>
            <rFont val="Tahoma"/>
            <family val="2"/>
          </rPr>
          <t xml:space="preserve"> nearest multiple of ten rupees</t>
        </r>
        <r>
          <rPr>
            <sz val="9"/>
            <color indexed="81"/>
            <rFont val="Tahoma"/>
            <family val="2"/>
          </rPr>
          <t xml:space="preserve"> and for this purpose any part of a rupee consisting of paise shall be ignored and thereafter if such amount is not a multiple of ten, then, if the last figure in that amount is five or more, the amount shall be increased to the next higher amount which is a multiple of ten and if the last figure is less than five, the amount shall be reduced to the next lower amount which is a multiple of ten.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U11" authorId="0" shapeId="0" xr:uid="{6CD78BEB-467E-4939-A48B-A38D66CAC469}">
      <text>
        <r>
          <rPr>
            <b/>
            <sz val="9"/>
            <color indexed="81"/>
            <rFont val="Tahoma"/>
            <family val="2"/>
          </rPr>
          <t>Name:</t>
        </r>
        <r>
          <rPr>
            <sz val="9"/>
            <color indexed="81"/>
            <rFont val="Tahoma"/>
            <family val="2"/>
          </rPr>
          <t xml:space="preserve">
Please ensure to enter Name  in Income Tax Proforma sheet.</t>
        </r>
      </text>
    </comment>
    <comment ref="U20" authorId="0" shapeId="0" xr:uid="{9A1E630B-A2B2-4E84-97FD-976E266701E5}">
      <text>
        <r>
          <rPr>
            <b/>
            <sz val="9"/>
            <color indexed="81"/>
            <rFont val="Tahoma"/>
            <family val="2"/>
          </rPr>
          <t>PAN:</t>
        </r>
        <r>
          <rPr>
            <sz val="9"/>
            <color indexed="81"/>
            <rFont val="Tahoma"/>
            <family val="2"/>
          </rPr>
          <t xml:space="preserve">
Please ensure to enter PAN  in Income Tax Proforma sheet.</t>
        </r>
      </text>
    </comment>
    <comment ref="D45" authorId="0" shapeId="0" xr:uid="{7AF633F8-52D5-498C-96BF-2D331A30D6A6}">
      <text>
        <r>
          <rPr>
            <b/>
            <sz val="9"/>
            <color indexed="81"/>
            <rFont val="Tahoma"/>
            <family val="2"/>
          </rPr>
          <t>Name:</t>
        </r>
        <r>
          <rPr>
            <sz val="9"/>
            <color indexed="81"/>
            <rFont val="Tahoma"/>
            <family val="2"/>
          </rPr>
          <t xml:space="preserve">
Please ensure to enter Name  in Income Tax Proforma sheet.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A28" authorId="0" shapeId="0" xr:uid="{347DA538-1523-4D64-AF27-1E656C2894CE}">
      <text>
        <r>
          <rPr>
            <b/>
            <sz val="9"/>
            <color indexed="81"/>
            <rFont val="Tahoma"/>
            <family val="2"/>
          </rPr>
          <t>Income deemed to be received :</t>
        </r>
        <r>
          <rPr>
            <sz val="9"/>
            <color indexed="81"/>
            <rFont val="Tahoma"/>
            <family val="2"/>
          </rPr>
          <t xml:space="preserve">
</t>
        </r>
        <r>
          <rPr>
            <b/>
            <sz val="9"/>
            <color indexed="81"/>
            <rFont val="Tahoma"/>
            <family val="2"/>
          </rPr>
          <t>Section - 7</t>
        </r>
        <r>
          <rPr>
            <sz val="9"/>
            <color indexed="81"/>
            <rFont val="Tahoma"/>
            <family val="2"/>
          </rPr>
          <t>. The following incomes shall be deemed to be received in the previous year :—
 (iii) the contribution made, by the Central Government or any other employer in the previous year, to the account of an employee under a pension scheme referred to in section 80CCD.</t>
        </r>
      </text>
    </comment>
    <comment ref="AK40" authorId="0" shapeId="0" xr:uid="{20DC0E66-E89F-498A-9732-052009EEBB53}">
      <text>
        <r>
          <rPr>
            <b/>
            <sz val="9"/>
            <color indexed="81"/>
            <rFont val="Tahoma"/>
            <family val="2"/>
          </rPr>
          <t>10. Incomes not included in total income.</t>
        </r>
        <r>
          <rPr>
            <sz val="9"/>
            <color indexed="81"/>
            <rFont val="Tahoma"/>
            <family val="2"/>
          </rPr>
          <t xml:space="preserve">
(</t>
        </r>
        <r>
          <rPr>
            <b/>
            <sz val="9"/>
            <color indexed="81"/>
            <rFont val="Tahoma"/>
            <family val="2"/>
          </rPr>
          <t>10AA</t>
        </r>
        <r>
          <rPr>
            <sz val="9"/>
            <color indexed="81"/>
            <rFont val="Tahoma"/>
            <family val="2"/>
          </rPr>
          <t>) (i) any payment received by an employee of the Central Government or a State Government as the cash equivalent of the</t>
        </r>
        <r>
          <rPr>
            <b/>
            <sz val="9"/>
            <color indexed="81"/>
            <rFont val="Tahoma"/>
            <family val="2"/>
          </rPr>
          <t xml:space="preserve"> leave salary in respect of the period of earned leave </t>
        </r>
        <r>
          <rPr>
            <sz val="9"/>
            <color indexed="81"/>
            <rFont val="Tahoma"/>
            <family val="2"/>
          </rPr>
          <t xml:space="preserve">at his </t>
        </r>
        <r>
          <rPr>
            <b/>
            <sz val="9"/>
            <color indexed="81"/>
            <rFont val="Tahoma"/>
            <family val="2"/>
          </rPr>
          <t>credit at the time of his retirement whether on superannuation or otherwise</t>
        </r>
        <r>
          <rPr>
            <sz val="9"/>
            <color indexed="81"/>
            <rFont val="Tahoma"/>
            <family val="2"/>
          </rPr>
          <t>;
(ii) any payment of the nature referred to in sub-clause (i) received by an employee, other than an employee of the Central Government or a State Government, in respect of so much of the period of</t>
        </r>
        <r>
          <rPr>
            <b/>
            <sz val="9"/>
            <color indexed="81"/>
            <rFont val="Tahoma"/>
            <family val="2"/>
          </rPr>
          <t xml:space="preserve"> earned leave at his credit </t>
        </r>
        <r>
          <rPr>
            <sz val="9"/>
            <color indexed="81"/>
            <rFont val="Tahoma"/>
            <family val="2"/>
          </rPr>
          <t>at the time of his retirement whether on superannuation or otherwise as does not exceed ten months, calculated on the basis of the average salary drawn by the employee during the period of ten months immediately preceding his retirement whether on superannuation or otherwise, subject to such limit as the Central Government may, by notification in the Official Gazette, specify in this behalf having regard to the limit applicable in this behalf to the employees of that Government :
Provided that where any such payments are received by an employee from more than one employer in the same previous year, the aggregate amount exempt from income-tax under this sub-clause shall not exceed the limit so specified :
Provided further that where any such payment or payments was or were received in any one or more earlier previous years also and the whole or any part of the amount of such payment or payments was or were not included in the total income of the assessee of such previous year or years, the amount exempt from income-tax under this sub-clause shall not exceed the limit so specified, as reduced by the amount or, as the case may be, the aggregate amount not included in the total income of any such previous year or years.
Explanation.—For the purposes of sub-clause (ii),—
the entitlement to earned leave of an employee shall not exceed thirty days for every year of actual service rendered by him as an employee of the employer from whose service he has retired;</t>
        </r>
      </text>
    </comment>
    <comment ref="AV46" authorId="0" shapeId="0" xr:uid="{B27F1067-EA8A-471D-BDE2-86C403B3AB16}">
      <text>
        <r>
          <rPr>
            <b/>
            <sz val="9"/>
            <color indexed="81"/>
            <rFont val="Tahoma"/>
            <family val="2"/>
          </rPr>
          <t>Deductions from salaries:</t>
        </r>
        <r>
          <rPr>
            <sz val="9"/>
            <color indexed="81"/>
            <rFont val="Tahoma"/>
            <family val="2"/>
          </rPr>
          <t xml:space="preserve">
</t>
        </r>
        <r>
          <rPr>
            <b/>
            <sz val="9"/>
            <color indexed="81"/>
            <rFont val="Tahoma"/>
            <family val="2"/>
          </rPr>
          <t>16</t>
        </r>
        <r>
          <rPr>
            <sz val="9"/>
            <color indexed="81"/>
            <rFont val="Tahoma"/>
            <family val="2"/>
          </rPr>
          <t>. The income chargeable under the head "Salaries" shall be computed after making the following deductions, namely :—
(</t>
        </r>
        <r>
          <rPr>
            <b/>
            <sz val="9"/>
            <color indexed="81"/>
            <rFont val="Tahoma"/>
            <family val="2"/>
          </rPr>
          <t>ia</t>
        </r>
        <r>
          <rPr>
            <sz val="9"/>
            <color indexed="81"/>
            <rFont val="Tahoma"/>
            <family val="2"/>
          </rPr>
          <t>) a deduction of [</t>
        </r>
        <r>
          <rPr>
            <b/>
            <sz val="9"/>
            <color indexed="81"/>
            <rFont val="Tahoma"/>
            <family val="2"/>
          </rPr>
          <t>seventy-five thousand</t>
        </r>
        <r>
          <rPr>
            <sz val="9"/>
            <color indexed="81"/>
            <rFont val="Tahoma"/>
            <family val="2"/>
          </rPr>
          <t>] rupees or the amount of the salary, whichever is less;</t>
        </r>
      </text>
    </comment>
    <comment ref="AV52" authorId="0" shapeId="0" xr:uid="{9ED10651-498E-48C9-8157-DD7D79485A89}">
      <text>
        <r>
          <rPr>
            <b/>
            <sz val="9"/>
            <color indexed="81"/>
            <rFont val="Tahoma"/>
            <family val="2"/>
          </rPr>
          <t>Income in respect of interest on deposits in savings account:</t>
        </r>
        <r>
          <rPr>
            <sz val="9"/>
            <color indexed="81"/>
            <rFont val="Tahoma"/>
            <family val="2"/>
          </rPr>
          <t xml:space="preserve">
(1) Where the gross total income of an assessee, being an individual or a Hindu undivided family, includes any income by way of interest on deposits (not being time deposits) in a </t>
        </r>
        <r>
          <rPr>
            <b/>
            <sz val="9"/>
            <color indexed="81"/>
            <rFont val="Tahoma"/>
            <family val="2"/>
          </rPr>
          <t>savings account</t>
        </r>
        <r>
          <rPr>
            <sz val="9"/>
            <color indexed="81"/>
            <rFont val="Tahoma"/>
            <family val="2"/>
          </rPr>
          <t xml:space="preserve"> with—
(a) a banking company to which the Banking Regulation Act, 1949 (10 of 1949), applies (including any bank or banking institution referred to in section 51 of that Act);
(b) a co-operative society engaged in carrying on the business of banking (including a co-operative land mortgage bank or a co-operative land development bank); or
(c) a Post Office as defined in clause (k) of section 2 of the Indian Post Office Act, 1898 (6 of 1898),
(2) Where the income referred to in this section is derived from any deposit in a savings account held by, or on behalf of, a firm, an association of persons or a body of individuals, no deduction shall be allowed under this section in respect of such income in computing the total income of any partner of the firm or any member of the association or any individual of the body.
Explanation.—For the purposes of this section, "time deposits" means the deposits repayable on expiry of fixed periods.</t>
        </r>
      </text>
    </comment>
    <comment ref="AV54" authorId="0" shapeId="0" xr:uid="{CE9FE481-2388-4BBF-B5D7-82A7655F51A9}">
      <text>
        <r>
          <rPr>
            <b/>
            <sz val="9"/>
            <color indexed="81"/>
            <rFont val="Tahoma"/>
            <family val="2"/>
          </rPr>
          <t>Income in respect of interest on deposits in savings account:</t>
        </r>
        <r>
          <rPr>
            <sz val="9"/>
            <color indexed="81"/>
            <rFont val="Tahoma"/>
            <family val="2"/>
          </rPr>
          <t xml:space="preserve">
(1) Where the gross total income of an assessee, being an individual or a Hindu undivided family, includes any income by way of interest on deposits (not being time deposits) in a </t>
        </r>
        <r>
          <rPr>
            <b/>
            <sz val="9"/>
            <color indexed="81"/>
            <rFont val="Tahoma"/>
            <family val="2"/>
          </rPr>
          <t>savings account</t>
        </r>
        <r>
          <rPr>
            <sz val="9"/>
            <color indexed="81"/>
            <rFont val="Tahoma"/>
            <family val="2"/>
          </rPr>
          <t xml:space="preserve"> with—
(a) a banking company to which the Banking Regulation Act, 1949 (10 of 1949), applies (including any bank or banking institution referred to in section 51 of that Act);
(b) a co-operative society engaged in carrying on the business of banking (including a co-operative land mortgage bank or a co-operative land development bank); or
(c) a Post Office as defined in clause (k) of section 2 of the Indian Post Office Act, 1898 (6 of 1898),
(2) Where the income referred to in this section is derived from any deposit in a savings account held by, or on behalf of, a firm, an association of persons or a body of individuals, no deduction shall be allowed under this section in respect of such income in computing the total income of any partner of the firm or any member of the association or any individual of the body.
Explanation.—For the purposes of this section, "time deposits" means the deposits repayable on expiry of fixed periods.</t>
        </r>
      </text>
    </comment>
    <comment ref="AV56" authorId="0" shapeId="0" xr:uid="{863092B2-F527-4667-8043-D5100B5DF531}">
      <text>
        <r>
          <rPr>
            <b/>
            <sz val="9"/>
            <color indexed="81"/>
            <rFont val="Tahoma"/>
            <family val="2"/>
          </rPr>
          <t>Income in respect of interest on deposits in savings account:</t>
        </r>
        <r>
          <rPr>
            <sz val="9"/>
            <color indexed="81"/>
            <rFont val="Tahoma"/>
            <family val="2"/>
          </rPr>
          <t xml:space="preserve">
(1) Where the gross total income of an assessee, being an individual or a Hindu undivided family, includes any income by way of interest on deposits (not being time deposits) in a </t>
        </r>
        <r>
          <rPr>
            <b/>
            <sz val="9"/>
            <color indexed="81"/>
            <rFont val="Tahoma"/>
            <family val="2"/>
          </rPr>
          <t>savings account</t>
        </r>
        <r>
          <rPr>
            <sz val="9"/>
            <color indexed="81"/>
            <rFont val="Tahoma"/>
            <family val="2"/>
          </rPr>
          <t xml:space="preserve"> with—
(a) a banking company to which the Banking Regulation Act, 1949 (10 of 1949), applies (including any bank or banking institution referred to in section 51 of that Act);
(b) a co-operative society engaged in carrying on the business of banking (including a co-operative land mortgage bank or a co-operative land development bank); or
(c) a Post Office as defined in clause (k) of section 2 of the Indian Post Office Act, 1898 (6 of 1898),
(2) Where the income referred to in this section is derived from any deposit in a savings account held by, or on behalf of, a firm, an association of persons or a body of individuals, no deduction shall be allowed under this section in respect of such income in computing the total income of any partner of the firm or any member of the association or any individual of the body.
Explanation.—For the purposes of this section, "time deposits" means the deposits repayable on expiry of fixed periods.</t>
        </r>
      </text>
    </comment>
    <comment ref="AV58" authorId="0" shapeId="0" xr:uid="{8E215B1D-14AB-47BD-9F51-3C0103736952}">
      <text>
        <r>
          <rPr>
            <b/>
            <sz val="9"/>
            <color indexed="81"/>
            <rFont val="Tahoma"/>
            <family val="2"/>
          </rPr>
          <t>Income in respect of interest on deposits in savings account:</t>
        </r>
        <r>
          <rPr>
            <sz val="9"/>
            <color indexed="81"/>
            <rFont val="Tahoma"/>
            <family val="2"/>
          </rPr>
          <t xml:space="preserve">
(1) Where the gross total income of an assessee, being an individual or a Hindu undivided family, includes any income by way of interest on deposits (not being time deposits) in a </t>
        </r>
        <r>
          <rPr>
            <b/>
            <sz val="9"/>
            <color indexed="81"/>
            <rFont val="Tahoma"/>
            <family val="2"/>
          </rPr>
          <t>savings account</t>
        </r>
        <r>
          <rPr>
            <sz val="9"/>
            <color indexed="81"/>
            <rFont val="Tahoma"/>
            <family val="2"/>
          </rPr>
          <t xml:space="preserve"> with—
(a) a banking company to which the Banking Regulation Act, 1949 (10 of 1949), applies (including any bank or banking institution referred to in section 51 of that Act);
(b) a co-operative society engaged in carrying on the business of banking (including a co-operative land mortgage bank or a co-operative land development bank); or
(c) a Post Office as defined in clause (k) of section 2 of the Indian Post Office Act, 1898 (6 of 1898),
(2) Where the income referred to in this section is derived from any deposit in a savings account held by, or on behalf of, a firm, an association of persons or a body of individuals, no deduction shall be allowed under this section in respect of such income in computing the total income of any partner of the firm or any member of the association or any individual of the body.
Explanation.—For the purposes of this section, "time deposits" means the deposits repayable on expiry of fixed periods.</t>
        </r>
      </text>
    </comment>
    <comment ref="AJ64" authorId="0" shapeId="0" xr:uid="{DC84287A-47F5-47E1-AD35-4EB16C210263}">
      <text>
        <r>
          <rPr>
            <b/>
            <sz val="9"/>
            <color indexed="81"/>
            <rFont val="Tahoma"/>
            <family val="2"/>
          </rPr>
          <t>Deduction in respect of contribution to pension scheme of Central Government:</t>
        </r>
        <r>
          <rPr>
            <sz val="9"/>
            <color indexed="81"/>
            <rFont val="Tahoma"/>
            <family val="2"/>
          </rPr>
          <t xml:space="preserve">
</t>
        </r>
        <r>
          <rPr>
            <b/>
            <sz val="9"/>
            <color indexed="81"/>
            <rFont val="Tahoma"/>
            <family val="2"/>
          </rPr>
          <t>80CCD</t>
        </r>
        <r>
          <rPr>
            <sz val="9"/>
            <color indexed="81"/>
            <rFont val="Tahoma"/>
            <family val="2"/>
          </rPr>
          <t>. (2) Where, in the case of an assessee referred to in sub-section (1), the Central Government or any other employer makes any contribution to his account referred to in that sub-section, the assessee shall be allowed a deduction in the computation of his total income, of the whole of the amount contributed by the Central Government or any other employer as 21[does not exceed—
(a)  fourteen per cent, where such contribution is made by the Central Government;
(b)  ten per cent, where such contribution is made by any other employer,
of his salary in the previous year.]
(3) Where any amount standing to the credit of the assessee in his account referred to in sub-section (1) or sub-section (1B), in respect of which a deduction has been allowed under those sub-sections or sub-section (2), together with the amount accrued thereon, if any, is received by the assessee or his nominee, in whole or in part, in any previous year,—
(a)  on account of closure or his opting out of the pension scheme referred to in sub-section (1) or sub-section (1B); or
(b)  as pension received from the annuity plan purchased or taken on such closure or opting out,
the whole of the amount referred to in clause (a) or clause (b) shall be deemed to be the income of the assessee or his nominee, as the case may be, in the previous year in which such amount is received, and shall accordingly be charged to tax as income of that previous year:
Provided that the amount received by the nominee, on the death of the assessee, under the circumstances referred to in clause (a), shall not be deemed to be the income of the nominee.
(5) For the purposes of this section, the assessee shall be deemed not to have received any amount in the previous year if such amount is used for purchasing an annuity plan in the same previous year.
Explanation.—For the purposes of this section, "salary" includes dearness allowance, if the terms of employment so provide, but excludes all other allowances and perquisites.</t>
        </r>
      </text>
    </comment>
    <comment ref="AV68" authorId="0" shapeId="0" xr:uid="{8AC1FF44-5B3C-4E7D-8E9F-65E0746A3F75}">
      <text>
        <r>
          <rPr>
            <b/>
            <sz val="9"/>
            <color indexed="81"/>
            <rFont val="Tahoma"/>
            <family val="2"/>
          </rPr>
          <t>Rounding off of income :</t>
        </r>
        <r>
          <rPr>
            <sz val="9"/>
            <color indexed="81"/>
            <rFont val="Tahoma"/>
            <family val="2"/>
          </rPr>
          <t xml:space="preserve">
</t>
        </r>
        <r>
          <rPr>
            <b/>
            <sz val="9"/>
            <color indexed="81"/>
            <rFont val="Tahoma"/>
            <family val="2"/>
          </rPr>
          <t>288A</t>
        </r>
        <r>
          <rPr>
            <sz val="9"/>
            <color indexed="81"/>
            <rFont val="Tahoma"/>
            <family val="2"/>
          </rPr>
          <t>. The amount of</t>
        </r>
        <r>
          <rPr>
            <b/>
            <sz val="9"/>
            <color indexed="81"/>
            <rFont val="Tahoma"/>
            <family val="2"/>
          </rPr>
          <t xml:space="preserve"> total income</t>
        </r>
        <r>
          <rPr>
            <sz val="9"/>
            <color indexed="81"/>
            <rFont val="Tahoma"/>
            <family val="2"/>
          </rPr>
          <t xml:space="preserve"> computed in accordance with the foregoing provisions of this Act shall be rounded off to the </t>
        </r>
        <r>
          <rPr>
            <b/>
            <sz val="9"/>
            <color indexed="81"/>
            <rFont val="Tahoma"/>
            <family val="2"/>
          </rPr>
          <t>nearest multiple of ten rupees</t>
        </r>
        <r>
          <rPr>
            <sz val="9"/>
            <color indexed="81"/>
            <rFont val="Tahoma"/>
            <family val="2"/>
          </rPr>
          <t xml:space="preserve"> and for this purpose any part of a rupee consisting of paise shall be ignored and thereafter if such amount is not a multiple of ten, then, if the last figure in that amount is five or more, the amount shall be increased to the next higher amount which is a multiple of ten and if the last figure is less than five, the amount shall be reduced to the next lower amount which is a multiple of ten; and the amount so rounded off shall be deemed to be the total income of the assessee for the purposes of this Act.
</t>
        </r>
      </text>
    </comment>
    <comment ref="AV74" authorId="0" shapeId="0" xr:uid="{0AED788B-F7CA-4168-90CF-DCC3494BC048}">
      <text>
        <r>
          <rPr>
            <b/>
            <sz val="9"/>
            <color indexed="81"/>
            <rFont val="Tahoma"/>
            <family val="2"/>
          </rPr>
          <t>Rebate of income-tax in case of certain individuals.</t>
        </r>
        <r>
          <rPr>
            <sz val="9"/>
            <color indexed="81"/>
            <rFont val="Tahoma"/>
            <family val="2"/>
          </rPr>
          <t xml:space="preserve">
</t>
        </r>
        <r>
          <rPr>
            <b/>
            <sz val="9"/>
            <color indexed="81"/>
            <rFont val="Tahoma"/>
            <family val="2"/>
          </rPr>
          <t>87A</t>
        </r>
        <r>
          <rPr>
            <sz val="9"/>
            <color indexed="81"/>
            <rFont val="Tahoma"/>
            <family val="2"/>
          </rPr>
          <t xml:space="preserve">. Following proviso shall be inserted in section 87A by the Finance Act, 2023, w.e.f. 1-4-2024 :
Provided that where the total income of the assessee is chargeable to tax under </t>
        </r>
        <r>
          <rPr>
            <b/>
            <sz val="9"/>
            <color indexed="81"/>
            <rFont val="Tahoma"/>
            <family val="2"/>
          </rPr>
          <t>sub-section (1A) of section 115BAC</t>
        </r>
        <r>
          <rPr>
            <sz val="9"/>
            <color indexed="81"/>
            <rFont val="Tahoma"/>
            <family val="2"/>
          </rPr>
          <t xml:space="preserve">, and the total income—
(a) does not exceed </t>
        </r>
        <r>
          <rPr>
            <b/>
            <sz val="9"/>
            <color indexed="81"/>
            <rFont val="Tahoma"/>
            <family val="2"/>
          </rPr>
          <t>seven hundred thousand rupees</t>
        </r>
        <r>
          <rPr>
            <sz val="9"/>
            <color indexed="81"/>
            <rFont val="Tahoma"/>
            <family val="2"/>
          </rPr>
          <t xml:space="preserve">, the assessee shall be entitled to a deduction from the amount of income-tax (as computed before allowing for the deductions under this Chapter) on his total income with which he is chargeable for any assessment year, of an amount equal to </t>
        </r>
        <r>
          <rPr>
            <b/>
            <sz val="9"/>
            <color indexed="81"/>
            <rFont val="Tahoma"/>
            <family val="2"/>
          </rPr>
          <t>one hundred per cent</t>
        </r>
        <r>
          <rPr>
            <sz val="9"/>
            <color indexed="81"/>
            <rFont val="Tahoma"/>
            <family val="2"/>
          </rPr>
          <t xml:space="preserve"> of such income-tax or an amount of</t>
        </r>
        <r>
          <rPr>
            <b/>
            <sz val="9"/>
            <color indexed="81"/>
            <rFont val="Tahoma"/>
            <family val="2"/>
          </rPr>
          <t xml:space="preserve"> twenty-five thousand rupees</t>
        </r>
        <r>
          <rPr>
            <sz val="9"/>
            <color indexed="81"/>
            <rFont val="Tahoma"/>
            <family val="2"/>
          </rPr>
          <t xml:space="preserve">, whichever is less;
(b) exceeds </t>
        </r>
        <r>
          <rPr>
            <b/>
            <sz val="9"/>
            <color indexed="81"/>
            <rFont val="Tahoma"/>
            <family val="2"/>
          </rPr>
          <t>seven hundred thousand rupees</t>
        </r>
        <r>
          <rPr>
            <sz val="9"/>
            <color indexed="81"/>
            <rFont val="Tahoma"/>
            <family val="2"/>
          </rPr>
          <t xml:space="preserve"> and the income-tax payable on such total income exceeds the amount by which the total income is in excess of seven hundred thousand rupees, the assessee shall be entitled to a deduction from the amount of income-tax (as computed before allowing the deductions under this Chapter) on his total income, </t>
        </r>
        <r>
          <rPr>
            <b/>
            <sz val="9"/>
            <color indexed="81"/>
            <rFont val="Tahoma"/>
            <family val="2"/>
          </rPr>
          <t>of an amount equal to the amount by which the income-tax payable on such total income is in excess of the amount by which the total income exceeds seven hundred thousand rupees</t>
        </r>
        <r>
          <rPr>
            <sz val="9"/>
            <color indexed="81"/>
            <rFont val="Tahoma"/>
            <family val="2"/>
          </rPr>
          <t>.</t>
        </r>
      </text>
    </comment>
    <comment ref="AV78" authorId="0" shapeId="0" xr:uid="{E6779D5E-B242-4E6C-BB9A-5AAA37FBDAEF}">
      <text>
        <r>
          <rPr>
            <b/>
            <sz val="9"/>
            <color indexed="81"/>
            <rFont val="Tahoma"/>
            <family val="2"/>
          </rPr>
          <t>Health and Education Cess</t>
        </r>
        <r>
          <rPr>
            <sz val="9"/>
            <color indexed="81"/>
            <rFont val="Tahoma"/>
            <family val="2"/>
          </rPr>
          <t xml:space="preserve"> : 
Health and Education Cess is levied at the rate of </t>
        </r>
        <r>
          <rPr>
            <b/>
            <sz val="9"/>
            <color indexed="81"/>
            <rFont val="Tahoma"/>
            <family val="2"/>
          </rPr>
          <t>4%</t>
        </r>
        <r>
          <rPr>
            <sz val="9"/>
            <color indexed="81"/>
            <rFont val="Tahoma"/>
            <family val="2"/>
          </rPr>
          <t xml:space="preserve"> on the amount of income-tax plus surcharge.</t>
        </r>
      </text>
    </comment>
    <comment ref="AV82" authorId="0" shapeId="0" xr:uid="{371D56BA-EEC8-4857-B3CC-658F112A2BCA}">
      <text>
        <r>
          <rPr>
            <b/>
            <sz val="9"/>
            <color indexed="81"/>
            <rFont val="Tahoma"/>
            <family val="2"/>
          </rPr>
          <t>Relief when salary, etc., is paid in arrears or in advance :</t>
        </r>
        <r>
          <rPr>
            <sz val="9"/>
            <color indexed="81"/>
            <rFont val="Tahoma"/>
            <family val="2"/>
          </rPr>
          <t xml:space="preserve">
</t>
        </r>
        <r>
          <rPr>
            <b/>
            <sz val="9"/>
            <color indexed="81"/>
            <rFont val="Tahoma"/>
            <family val="2"/>
          </rPr>
          <t>89.</t>
        </r>
        <r>
          <rPr>
            <sz val="9"/>
            <color indexed="81"/>
            <rFont val="Tahoma"/>
            <family val="2"/>
          </rPr>
          <t xml:space="preserve"> Where an assessee is in receipt of a sum in the nature of salary, being paid in arrears or in advance or is in receipt, in any one financial year, of salary for more than twelve months or a payment which under the provisions of clause (3) of section 17 is a profit in lieu of salary, or is in receipt of a sum in the nature of family pension as defined in the Explanation to clause (iia) of section 57, being paid in arrears, due to which his total income is assessed at a rate higher than that at which it would otherwise have been assessed, the Assessing Officer shall, on an application made to him in this behalf, grant such relief as may be prescribed:
Provided that no such relief shall be granted in respect of any amount received or receivable by an assessee on his voluntary retirement or termination of his service, in accordance with any scheme or schemes of voluntary retirement or in the case of a public sector company referred to in sub-clause (i) of clause (10C) of section 10, a scheme of voluntary separation, if an exemption in respect of any amount received or receivable on such voluntary retirement or termination of his service or voluntary separation has been claimed by the assessee under clause (10C) of section 10 in respect of such, or any other, assessment year.</t>
        </r>
      </text>
    </comment>
    <comment ref="AV84" authorId="0" shapeId="0" xr:uid="{70FDC08C-97EE-4218-9949-98DDEA74373F}">
      <text>
        <r>
          <rPr>
            <b/>
            <sz val="9"/>
            <color indexed="81"/>
            <rFont val="Tahoma"/>
            <family val="2"/>
          </rPr>
          <t>Rounding off amount payable and refund due :</t>
        </r>
        <r>
          <rPr>
            <sz val="9"/>
            <color indexed="81"/>
            <rFont val="Tahoma"/>
            <family val="2"/>
          </rPr>
          <t xml:space="preserve">
</t>
        </r>
        <r>
          <rPr>
            <b/>
            <sz val="9"/>
            <color indexed="81"/>
            <rFont val="Tahoma"/>
            <family val="2"/>
          </rPr>
          <t>288B</t>
        </r>
        <r>
          <rPr>
            <sz val="9"/>
            <color indexed="81"/>
            <rFont val="Tahoma"/>
            <family val="2"/>
          </rPr>
          <t xml:space="preserve">. Any </t>
        </r>
        <r>
          <rPr>
            <b/>
            <sz val="9"/>
            <color indexed="81"/>
            <rFont val="Tahoma"/>
            <family val="2"/>
          </rPr>
          <t>amount payable, and the amount of refund due</t>
        </r>
        <r>
          <rPr>
            <sz val="9"/>
            <color indexed="81"/>
            <rFont val="Tahoma"/>
            <family val="2"/>
          </rPr>
          <t xml:space="preserve">, under the provisions of this Act shall be rounded off to the nearest </t>
        </r>
        <r>
          <rPr>
            <b/>
            <sz val="9"/>
            <color indexed="81"/>
            <rFont val="Tahoma"/>
            <family val="2"/>
          </rPr>
          <t>multiple of ten rupees</t>
        </r>
        <r>
          <rPr>
            <sz val="9"/>
            <color indexed="81"/>
            <rFont val="Tahoma"/>
            <family val="2"/>
          </rPr>
          <t xml:space="preserve"> and for this purpose any part of a rupee consisting of paise shall be ignored and thereafter if such amount is not a multiple of ten, then, if the last figure in that amount is five or more, the amount shall be increased to the next higher amount which is a multiple of ten and if the last figure is less than five, the amount shall be reduced to the next lower amount which is a multiple of ten.
</t>
        </r>
      </text>
    </comment>
    <comment ref="AV95" authorId="0" shapeId="0" xr:uid="{29E60E89-1F5A-4A69-9F70-9C9A82A88D50}">
      <text>
        <r>
          <rPr>
            <b/>
            <sz val="9"/>
            <color indexed="81"/>
            <rFont val="Tahoma"/>
            <family val="2"/>
          </rPr>
          <t>Rounding off amount payable and refund due</t>
        </r>
        <r>
          <rPr>
            <sz val="9"/>
            <color indexed="81"/>
            <rFont val="Tahoma"/>
            <family val="2"/>
          </rPr>
          <t xml:space="preserve"> :
</t>
        </r>
        <r>
          <rPr>
            <b/>
            <sz val="9"/>
            <color indexed="81"/>
            <rFont val="Tahoma"/>
            <family val="2"/>
          </rPr>
          <t>288B</t>
        </r>
        <r>
          <rPr>
            <sz val="9"/>
            <color indexed="81"/>
            <rFont val="Tahoma"/>
            <family val="2"/>
          </rPr>
          <t xml:space="preserve">. Any </t>
        </r>
        <r>
          <rPr>
            <b/>
            <sz val="9"/>
            <color indexed="81"/>
            <rFont val="Tahoma"/>
            <family val="2"/>
          </rPr>
          <t>amount payable, and the amount of refund due</t>
        </r>
        <r>
          <rPr>
            <sz val="9"/>
            <color indexed="81"/>
            <rFont val="Tahoma"/>
            <family val="2"/>
          </rPr>
          <t>, under the provisions of this Act shall be rounded off to the</t>
        </r>
        <r>
          <rPr>
            <b/>
            <sz val="9"/>
            <color indexed="81"/>
            <rFont val="Tahoma"/>
            <family val="2"/>
          </rPr>
          <t xml:space="preserve"> nearest multiple of ten rupees</t>
        </r>
        <r>
          <rPr>
            <sz val="9"/>
            <color indexed="81"/>
            <rFont val="Tahoma"/>
            <family val="2"/>
          </rPr>
          <t xml:space="preserve"> and for this purpose any part of a rupee consisting of paise shall be ignored and thereafter if such amount is not a multiple of ten, then, if the last figure in that amount is five or more, the amount shall be increased to the next higher amount which is a multiple of ten and if the last figure is less than five, the amount shall be reduced to the next lower amount which is a multiple of ten.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U11" authorId="0" shapeId="0" xr:uid="{A4232A0B-8B2C-47F4-9731-22213BCFE319}">
      <text>
        <r>
          <rPr>
            <b/>
            <sz val="9"/>
            <color indexed="81"/>
            <rFont val="Tahoma"/>
            <family val="2"/>
          </rPr>
          <t>Name:</t>
        </r>
        <r>
          <rPr>
            <sz val="9"/>
            <color indexed="81"/>
            <rFont val="Tahoma"/>
            <family val="2"/>
          </rPr>
          <t xml:space="preserve">
Please ensure to enter Name  in Income Tax Proforma sheet.</t>
        </r>
      </text>
    </comment>
    <comment ref="U20" authorId="0" shapeId="0" xr:uid="{AD337E9B-243D-4407-9007-AA04AE842857}">
      <text>
        <r>
          <rPr>
            <b/>
            <sz val="9"/>
            <color indexed="81"/>
            <rFont val="Tahoma"/>
            <family val="2"/>
          </rPr>
          <t>PAN:</t>
        </r>
        <r>
          <rPr>
            <sz val="9"/>
            <color indexed="81"/>
            <rFont val="Tahoma"/>
            <family val="2"/>
          </rPr>
          <t xml:space="preserve">
Please ensure to enter PAN  in Income Tax Proforma sheet.</t>
        </r>
      </text>
    </comment>
    <comment ref="D45" authorId="0" shapeId="0" xr:uid="{DA283C19-1D48-4BE3-B2E4-B2CB1EE9D58E}">
      <text>
        <r>
          <rPr>
            <b/>
            <sz val="9"/>
            <color indexed="81"/>
            <rFont val="Tahoma"/>
            <family val="2"/>
          </rPr>
          <t>Name:</t>
        </r>
        <r>
          <rPr>
            <sz val="9"/>
            <color indexed="81"/>
            <rFont val="Tahoma"/>
            <family val="2"/>
          </rPr>
          <t xml:space="preserve">
Please ensure to enter Name  in Income Tax Proforma sheet.
</t>
        </r>
      </text>
    </comment>
  </commentList>
</comments>
</file>

<file path=xl/sharedStrings.xml><?xml version="1.0" encoding="utf-8"?>
<sst xmlns="http://schemas.openxmlformats.org/spreadsheetml/2006/main" count="639" uniqueCount="236">
  <si>
    <t>Month</t>
  </si>
  <si>
    <t>Basic Pay</t>
  </si>
  <si>
    <t>DA</t>
  </si>
  <si>
    <t>HRA</t>
  </si>
  <si>
    <t>Total</t>
  </si>
  <si>
    <t>:</t>
  </si>
  <si>
    <t>Verified and forwarded</t>
  </si>
  <si>
    <t>Principal</t>
  </si>
  <si>
    <t>(a)</t>
  </si>
  <si>
    <t>(b)</t>
  </si>
  <si>
    <t>(d)</t>
  </si>
  <si>
    <t>Place</t>
  </si>
  <si>
    <t>Date</t>
  </si>
  <si>
    <t>Name</t>
  </si>
  <si>
    <t>Signature</t>
  </si>
  <si>
    <t>Designation</t>
  </si>
  <si>
    <t>LIC</t>
  </si>
  <si>
    <t>SLI</t>
  </si>
  <si>
    <t>GIS</t>
  </si>
  <si>
    <t>Festival Allowance</t>
  </si>
  <si>
    <t>Created By</t>
  </si>
  <si>
    <t>Suggestions and Feedback</t>
  </si>
  <si>
    <t>Auto filled cell</t>
  </si>
  <si>
    <t>Please fill relevant data</t>
  </si>
  <si>
    <t>September</t>
  </si>
  <si>
    <t>February</t>
  </si>
  <si>
    <t>January</t>
  </si>
  <si>
    <t>December</t>
  </si>
  <si>
    <t>March</t>
  </si>
  <si>
    <t>April</t>
  </si>
  <si>
    <t>May</t>
  </si>
  <si>
    <t>June</t>
  </si>
  <si>
    <t>July</t>
  </si>
  <si>
    <t>August</t>
  </si>
  <si>
    <t>October</t>
  </si>
  <si>
    <t>November</t>
  </si>
  <si>
    <t>Instructions</t>
  </si>
  <si>
    <t>Please fill section number or details</t>
  </si>
  <si>
    <t>FORM 10E</t>
  </si>
  <si>
    <r>
      <t>[</t>
    </r>
    <r>
      <rPr>
        <i/>
        <sz val="12"/>
        <color theme="1"/>
        <rFont val="Arial"/>
        <family val="2"/>
      </rPr>
      <t xml:space="preserve">See </t>
    </r>
    <r>
      <rPr>
        <sz val="12"/>
        <color theme="1"/>
        <rFont val="Arial"/>
        <family val="2"/>
      </rPr>
      <t>rule 21AA]</t>
    </r>
  </si>
  <si>
    <t xml:space="preserve">Form for furnishing particulars of income under section 192(2A) for the year ending </t>
  </si>
  <si>
    <t>servant or an employee in a  company, co-operative society, local authority,</t>
  </si>
  <si>
    <t xml:space="preserve"> university, institution, association or body</t>
  </si>
  <si>
    <t>Permanent Account Number</t>
  </si>
  <si>
    <t xml:space="preserve">Residential status </t>
  </si>
  <si>
    <t>Select</t>
  </si>
  <si>
    <t>Sex</t>
  </si>
  <si>
    <t>Particulars of income referred to in rule 21A of the Income-tax Rules, 1962,</t>
  </si>
  <si>
    <t>Salary received in arrears or in advance in accordance with the provisions of sub-rule (2) of rule 21A</t>
  </si>
  <si>
    <t>NIL</t>
  </si>
  <si>
    <t>(c)</t>
  </si>
  <si>
    <t>Payment in commutation of pension in accordance with the provisions of sub-rule (5) of rule 21A</t>
  </si>
  <si>
    <t>I</t>
  </si>
  <si>
    <t>Signature of the employee</t>
  </si>
  <si>
    <t>Verification</t>
  </si>
  <si>
    <t>I,</t>
  </si>
  <si>
    <t xml:space="preserve">do hereby declare that what is stated above </t>
  </si>
  <si>
    <t>is true to the best of my knowledge and belief.</t>
  </si>
  <si>
    <t>ANNEXURE I</t>
  </si>
  <si>
    <t>[See item 2 of Form No. 10E]</t>
  </si>
  <si>
    <t>ARREARS OR ADVANCE SALARY</t>
  </si>
  <si>
    <t>Total Income (excluding salary received in arrears or advance)</t>
  </si>
  <si>
    <t>Salary received in arrears or advance</t>
  </si>
  <si>
    <t>Total income (as increased by salary received in arrears or advance)                                                                                          [Add item 1 and item 2]</t>
  </si>
  <si>
    <t>Tax on total income (as per item 3)</t>
  </si>
  <si>
    <t>Tax on total income (as per item 1)</t>
  </si>
  <si>
    <t>Tax on salary received in arrears or advance
[Difference of item 4 and item 5]</t>
  </si>
  <si>
    <t>Tax computed in accordance with Table “A”
[Brought from column 7 of Table “A”]</t>
  </si>
  <si>
    <t>TABLE “A”</t>
  </si>
  <si>
    <t>[See item 7 of Annexure I]</t>
  </si>
  <si>
    <t>Previous Financial Year(s)</t>
  </si>
  <si>
    <t>Total Income of the relevant previous year</t>
  </si>
  <si>
    <r>
      <t>Tax on total income [</t>
    </r>
    <r>
      <rPr>
        <sz val="9"/>
        <color theme="1"/>
        <rFont val="Arial"/>
        <family val="2"/>
      </rPr>
      <t>as per column(2)</t>
    </r>
    <r>
      <rPr>
        <sz val="11"/>
        <color theme="1"/>
        <rFont val="Arial"/>
        <family val="2"/>
      </rPr>
      <t>]</t>
    </r>
  </si>
  <si>
    <r>
      <t>Tax on total income [</t>
    </r>
    <r>
      <rPr>
        <sz val="9"/>
        <color theme="1"/>
        <rFont val="Arial"/>
        <family val="2"/>
      </rPr>
      <t>as per column(4)</t>
    </r>
    <r>
      <rPr>
        <sz val="11"/>
        <color theme="1"/>
        <rFont val="Arial"/>
        <family val="2"/>
      </rPr>
      <t>]</t>
    </r>
  </si>
  <si>
    <r>
      <t>Difference in tax [</t>
    </r>
    <r>
      <rPr>
        <sz val="9"/>
        <color theme="1"/>
        <rFont val="Arial"/>
        <family val="2"/>
      </rPr>
      <t>Amount under column(6) minus amount under column (5)</t>
    </r>
    <r>
      <rPr>
        <sz val="11"/>
        <color theme="1"/>
        <rFont val="Arial"/>
        <family val="2"/>
      </rPr>
      <t>]</t>
    </r>
  </si>
  <si>
    <t xml:space="preserve">TOTAL </t>
  </si>
  <si>
    <t xml:space="preserve">Name of the employee </t>
  </si>
  <si>
    <t>FORM NO. 10E</t>
  </si>
  <si>
    <t xml:space="preserve">during the previous year relevant to assessment year </t>
  </si>
  <si>
    <t>Payment in nature of gratuity in respect of past services, extending over a period of not less than 5 years in accordance with the provisions of sub-rule (3) of rule 21A</t>
  </si>
  <si>
    <t>Payment in nature of compensation from the employer or former employer at or in connection with the termination of employment after continuous service of not less than 3 years or where the unexpired portion of term of employment is not less than 3 years in accordance with the provisions of sub-rule (4) of rule 21A</t>
  </si>
  <si>
    <t>Detailed particulars of payment referred to above may be given in Annexure I, II, IIA, III or IV, as the case may be</t>
  </si>
  <si>
    <t>Relief under section 89(1)
[Indicate the difference between the amounts mentioned against items 6 and 7]</t>
  </si>
  <si>
    <t>Salary received in arrears or advance relating to the relevant previous year as mentioned in column (1)</t>
  </si>
  <si>
    <r>
      <t>Total income (</t>
    </r>
    <r>
      <rPr>
        <sz val="9"/>
        <color theme="1"/>
        <rFont val="Arial"/>
        <family val="2"/>
      </rPr>
      <t>as increased by salary received in arrears or advance</t>
    </r>
    <r>
      <rPr>
        <sz val="11"/>
        <color theme="1"/>
        <rFont val="Arial"/>
        <family val="2"/>
      </rPr>
      <t>) of the relevant previous year mentioned in column (1) [</t>
    </r>
    <r>
      <rPr>
        <sz val="9"/>
        <color theme="1"/>
        <rFont val="Arial"/>
        <family val="2"/>
      </rPr>
      <t>Add columns (2) and (3)</t>
    </r>
    <r>
      <rPr>
        <sz val="11"/>
        <color theme="1"/>
        <rFont val="Arial"/>
        <family val="2"/>
      </rPr>
      <t>]</t>
    </r>
  </si>
  <si>
    <t xml:space="preserve">Name of the employee  </t>
  </si>
  <si>
    <t>State</t>
  </si>
  <si>
    <t>PF</t>
  </si>
  <si>
    <t>A1. Salary Statement :</t>
  </si>
  <si>
    <t>A2. Salary Arrear Statement :</t>
  </si>
  <si>
    <t>Salary Arrear to PF</t>
  </si>
  <si>
    <t>2. Deductions u/s 16</t>
  </si>
  <si>
    <t>4. House Property - Self Occupied</t>
  </si>
  <si>
    <t xml:space="preserve">Income chargeable under the head ‘House Property’ </t>
  </si>
  <si>
    <t>Is the property acquired or constructed with capital borrowed on or after 01/04/1999?</t>
  </si>
  <si>
    <t>5. Income from Other Sources</t>
  </si>
  <si>
    <t>Interest from Income Tax Refund</t>
  </si>
  <si>
    <t>Any Other</t>
  </si>
  <si>
    <t>80C - Provident Fund</t>
  </si>
  <si>
    <t>80C - Salary Arrear to Provident Fund</t>
  </si>
  <si>
    <t>80C - Life Insurance Premium - Monthly</t>
  </si>
  <si>
    <t xml:space="preserve">80C - Life Insurance Premium </t>
  </si>
  <si>
    <t>80C - SLI</t>
  </si>
  <si>
    <t>80C - GIS</t>
  </si>
  <si>
    <t>Amount</t>
  </si>
  <si>
    <t>System Calculated</t>
  </si>
  <si>
    <t>80C - Home Loan Principal</t>
  </si>
  <si>
    <t>…………………………………………………</t>
  </si>
  <si>
    <t xml:space="preserve">80C </t>
  </si>
  <si>
    <t>80D -  Deduction in respect of Health Insurance premia</t>
  </si>
  <si>
    <t>Self and Family</t>
  </si>
  <si>
    <t>Parents</t>
  </si>
  <si>
    <t>80DDB - Medical treatment of specified disease</t>
  </si>
  <si>
    <t>80E - Interest on loan taken for higher education</t>
  </si>
  <si>
    <t>Total Deductions</t>
  </si>
  <si>
    <t>80D - Eligible Amount of Deduction</t>
  </si>
  <si>
    <t>Payment Mode</t>
  </si>
  <si>
    <t>Health Insurance -</t>
  </si>
  <si>
    <t>Medical Expenditure -</t>
  </si>
  <si>
    <t>80EE - Interest on loan taken for residential house property - the loan has been sanctioned during 01/04/2016 to 31/03/2017</t>
  </si>
  <si>
    <t>80EEB - Deduction in respect of purchase of electric vehicle  - the loan has been sanctioned during 01/04/2019 to 31/03/2023</t>
  </si>
  <si>
    <t>a. Tax Payable on Total Income (8)</t>
  </si>
  <si>
    <t>b. Rebate u/s 87A</t>
  </si>
  <si>
    <t>9. Computation of Tax Payable</t>
  </si>
  <si>
    <t>TDS</t>
  </si>
  <si>
    <t>f. Relief u/s 89(1) (Please ensure to submit Form 10E to claim this relief)</t>
  </si>
  <si>
    <t>VERIFICATION</t>
  </si>
  <si>
    <t>son/daughter of,</t>
  </si>
  <si>
    <t>, solemnly declare</t>
  </si>
  <si>
    <t xml:space="preserve">that to the best of my knowledge and belief, the information given above is correct and complete and is in </t>
  </si>
  <si>
    <t>.</t>
  </si>
  <si>
    <t xml:space="preserve">I am holding permanent account number </t>
  </si>
  <si>
    <t>PAN No</t>
  </si>
  <si>
    <t>80CCC - Payment in respect Pension Fund, etc.</t>
  </si>
  <si>
    <t>80CCD(1B) - Contribution to pension scheme of Central Government</t>
  </si>
  <si>
    <t>Town / City / District</t>
  </si>
  <si>
    <t>Area / Locality</t>
  </si>
  <si>
    <t>Road / Street /Post Office</t>
  </si>
  <si>
    <t>Flat / Door / Block No</t>
  </si>
  <si>
    <t>Name of premises / Building / Village</t>
  </si>
  <si>
    <t>Interest payable on borrowed capital u/s 24(b)</t>
  </si>
  <si>
    <t>80C - Tuition Fees</t>
  </si>
  <si>
    <t>d. Health and Education Cess @4% on Tax payable after Rebate (c)</t>
  </si>
  <si>
    <t>Pension Scheme</t>
  </si>
  <si>
    <t>Office Location</t>
  </si>
  <si>
    <t>Annual Increment Month</t>
  </si>
  <si>
    <t>Father's Name</t>
  </si>
  <si>
    <t>80CCD(1) - Contribution to pension scheme of Central Government</t>
  </si>
  <si>
    <t>80CCD(2) - Contribution to pension scheme of Central Government by employer</t>
  </si>
  <si>
    <t>No</t>
  </si>
  <si>
    <t>Have you opted for the New Tax Regime u/s 115BAC for the FY 2020-2021?</t>
  </si>
  <si>
    <t>e. Total Tax and Cess</t>
  </si>
  <si>
    <t>Name of College</t>
  </si>
  <si>
    <t>Prepared by Libin Kuriakose, St. Thomas College, Palai</t>
  </si>
  <si>
    <t>Interest Income from Savings Bank Accounts in India</t>
  </si>
  <si>
    <t>Interest Income from Deposits in Bank / Post Office / Cooperative Society in India</t>
  </si>
  <si>
    <t>7. Investment / Deposit / Payments for the purpose of claiming deduction under Chapter VIA and other deductions</t>
  </si>
  <si>
    <t>80TTA - Interest on deposits in saving bank Accounts</t>
  </si>
  <si>
    <t>Preventive Health Checkup</t>
  </si>
  <si>
    <r>
      <t xml:space="preserve">80GGA - </t>
    </r>
    <r>
      <rPr>
        <sz val="9"/>
        <color theme="1"/>
        <rFont val="Times New Roman"/>
        <family val="1"/>
      </rPr>
      <t>Certain donations for scientific research or rural development</t>
    </r>
  </si>
  <si>
    <r>
      <t xml:space="preserve">80GGC - </t>
    </r>
    <r>
      <rPr>
        <sz val="10"/>
        <color theme="1"/>
        <rFont val="Times New Roman"/>
        <family val="1"/>
      </rPr>
      <t>Donation to Political party</t>
    </r>
  </si>
  <si>
    <t>80DD - Maintenance including medical treatment of a dependent who is a person with disability</t>
  </si>
  <si>
    <t xml:space="preserve"> </t>
  </si>
  <si>
    <t>Monthly Deductions through SPARK</t>
  </si>
  <si>
    <t/>
  </si>
  <si>
    <t>Ph:9645260864, email: libinkuriakose@gmail.com</t>
  </si>
  <si>
    <t>Dr. Libin Kuriakose</t>
  </si>
  <si>
    <r>
      <t xml:space="preserve">Income Tax Calculator in                  </t>
    </r>
    <r>
      <rPr>
        <b/>
        <i/>
        <sz val="14"/>
        <color rgb="FFFF0000"/>
        <rFont val="Times New Roman"/>
        <family val="1"/>
      </rPr>
      <t>New Regime of Tax Slab</t>
    </r>
  </si>
  <si>
    <t>Please use this Microsoft Excel Utility in MS-Excel 2007 or later versions.</t>
  </si>
  <si>
    <t>libin kuriakose stc pala</t>
  </si>
  <si>
    <t>libin kuriakose stcpala</t>
  </si>
  <si>
    <t>Please fill/select relevant data</t>
  </si>
  <si>
    <t>Select Donation Type</t>
  </si>
  <si>
    <t>3. Income chargeable under the head "Salaries" (1 - 2)</t>
  </si>
  <si>
    <t>c. Sec 10(13A) - Allowance to meet expenditure incurred on house rent</t>
  </si>
  <si>
    <t>1. Net Salary (A1 + A2 - A3)</t>
  </si>
  <si>
    <t>a. Standard Deduction u/s 16(ia)</t>
  </si>
  <si>
    <t>b. Professional tax u/s 16(iii)</t>
  </si>
  <si>
    <r>
      <t xml:space="preserve">A3. Less allowances to the extent exempt u/s 10 </t>
    </r>
    <r>
      <rPr>
        <b/>
        <sz val="9"/>
        <color theme="1"/>
        <rFont val="Times New Roman"/>
        <family val="1"/>
      </rPr>
      <t>(Ensure that it is included in salary income u/s 17(1) )</t>
    </r>
  </si>
  <si>
    <t>Earned Leave Encashment</t>
  </si>
  <si>
    <t xml:space="preserve">80GG - House Rent paid </t>
  </si>
  <si>
    <t>b. Sec 10(10AA) - Earned leave encashment on Retirement</t>
  </si>
  <si>
    <t>Leave Travel Concession</t>
  </si>
  <si>
    <t>a. Sec 10(5) - Leave Travel Concession/Assistance</t>
  </si>
  <si>
    <t>80U - In case of a person with disability</t>
  </si>
  <si>
    <t>Gross Salary as per section 17(1) (A1 + A2)</t>
  </si>
  <si>
    <t>6. Gross Total Income (3 + 4 + 5)</t>
  </si>
  <si>
    <t>8. Total Income (7 - 6)</t>
  </si>
  <si>
    <t>c. Tax payable after Rebate (a - b)</t>
  </si>
  <si>
    <t>Basic Pay in March</t>
  </si>
  <si>
    <r>
      <t>Please ensure that data required in the "</t>
    </r>
    <r>
      <rPr>
        <b/>
        <i/>
        <sz val="14"/>
        <color rgb="FFFF0000"/>
        <rFont val="Times New Roman"/>
        <family val="1"/>
      </rPr>
      <t>Basic Information</t>
    </r>
    <r>
      <rPr>
        <b/>
        <i/>
        <sz val="14"/>
        <color theme="1"/>
        <rFont val="Times New Roman"/>
        <family val="1"/>
      </rPr>
      <t>" sheet are filled before selecting this sheet.</t>
    </r>
  </si>
  <si>
    <r>
      <t>Please ensure that the "</t>
    </r>
    <r>
      <rPr>
        <b/>
        <i/>
        <sz val="14"/>
        <color rgb="FFFF0000"/>
        <rFont val="Times New Roman"/>
        <family val="1"/>
      </rPr>
      <t>Basic Information</t>
    </r>
    <r>
      <rPr>
        <b/>
        <i/>
        <sz val="14"/>
        <color theme="1"/>
        <rFont val="Times New Roman"/>
        <family val="1"/>
      </rPr>
      <t xml:space="preserve"> and </t>
    </r>
    <r>
      <rPr>
        <b/>
        <i/>
        <sz val="14"/>
        <color rgb="FFFF0000"/>
        <rFont val="Times New Roman"/>
        <family val="1"/>
      </rPr>
      <t>Income Tax Proforma - Old Schem</t>
    </r>
    <r>
      <rPr>
        <b/>
        <i/>
        <sz val="14"/>
        <color theme="1"/>
        <rFont val="Times New Roman"/>
        <family val="1"/>
      </rPr>
      <t>" sheets are filled before selecting this sheet.</t>
    </r>
  </si>
  <si>
    <r>
      <t>Please ensure that the "</t>
    </r>
    <r>
      <rPr>
        <b/>
        <i/>
        <sz val="14"/>
        <color rgb="FFFF0000"/>
        <rFont val="Times New Roman"/>
        <family val="1"/>
      </rPr>
      <t>Basic Information,  Income Tax Proforma - Old Schem,</t>
    </r>
    <r>
      <rPr>
        <b/>
        <i/>
        <sz val="14"/>
        <color theme="1"/>
        <rFont val="Times New Roman"/>
        <family val="1"/>
      </rPr>
      <t xml:space="preserve"> and </t>
    </r>
    <r>
      <rPr>
        <b/>
        <i/>
        <sz val="14"/>
        <color rgb="FFFF0000"/>
        <rFont val="Times New Roman"/>
        <family val="1"/>
      </rPr>
      <t>Form 10E - Old Scheme</t>
    </r>
    <r>
      <rPr>
        <b/>
        <i/>
        <sz val="14"/>
        <color theme="1"/>
        <rFont val="Times New Roman"/>
        <family val="1"/>
      </rPr>
      <t>" sheets are filled before selecting this sheet.</t>
    </r>
  </si>
  <si>
    <t>Address</t>
  </si>
  <si>
    <t>Pincode</t>
  </si>
  <si>
    <t>Is anyone of your parents a senior citizen?</t>
  </si>
  <si>
    <r>
      <t xml:space="preserve">80G - </t>
    </r>
    <r>
      <rPr>
        <sz val="9"/>
        <color theme="1"/>
        <rFont val="Times New Roman"/>
        <family val="1"/>
      </rPr>
      <t xml:space="preserve">Donations to certain funds, charitable institutions, </t>
    </r>
    <r>
      <rPr>
        <sz val="8"/>
        <color theme="1"/>
        <rFont val="Source Sans Pro"/>
        <family val="2"/>
      </rPr>
      <t>CMDRF</t>
    </r>
    <r>
      <rPr>
        <sz val="9"/>
        <color theme="1"/>
        <rFont val="Times New Roman"/>
        <family val="1"/>
      </rPr>
      <t xml:space="preserve"> etc.</t>
    </r>
  </si>
  <si>
    <t>accordance with the provisions of the Income-tax Act 1961.</t>
  </si>
  <si>
    <t>a. Sec 10(10AA) - Earned leave encashment on Retirement</t>
  </si>
  <si>
    <t>Any other Allowances</t>
  </si>
  <si>
    <t>Have you opted for the New Tax Regime u/s 115BAC for the FY 2021-2022?</t>
  </si>
  <si>
    <t>Arrear 1</t>
  </si>
  <si>
    <t>Arrear 2</t>
  </si>
  <si>
    <t>80EEA - Interest on loan taken for certain house property - the loan has been sanctioned during 01/04/2019 to 31/03/2022</t>
  </si>
  <si>
    <r>
      <t xml:space="preserve">Income Tax Calculator in </t>
    </r>
    <r>
      <rPr>
        <b/>
        <i/>
        <sz val="14"/>
        <color rgb="FFFF0000"/>
        <rFont val="Times New Roman"/>
        <family val="1"/>
      </rPr>
      <t>Old Regime of Tax Slab</t>
    </r>
    <r>
      <rPr>
        <b/>
        <sz val="14"/>
        <color rgb="FFFF0000"/>
        <rFont val="Times New Roman"/>
        <family val="1"/>
      </rPr>
      <t xml:space="preserve"> for the preparation of Form No. 10E</t>
    </r>
  </si>
  <si>
    <r>
      <t xml:space="preserve">Income Tax Calculator in </t>
    </r>
    <r>
      <rPr>
        <b/>
        <i/>
        <sz val="14"/>
        <color rgb="FFFF0000"/>
        <rFont val="Times New Roman"/>
        <family val="1"/>
      </rPr>
      <t>New Regime of Tax Slab</t>
    </r>
    <r>
      <rPr>
        <b/>
        <sz val="14"/>
        <color rgb="FFFF0000"/>
        <rFont val="Times New Roman"/>
        <family val="1"/>
      </rPr>
      <t xml:space="preserve"> for the preparation of Form No. 10E</t>
    </r>
  </si>
  <si>
    <t>MEDISEP</t>
  </si>
  <si>
    <t>Have you opted for the New Tax Regime u/s 115BAC for the FY 2022-2023?</t>
  </si>
  <si>
    <r>
      <t>31</t>
    </r>
    <r>
      <rPr>
        <vertAlign val="superscript"/>
        <sz val="12"/>
        <color theme="1"/>
        <rFont val="Arial"/>
        <family val="2"/>
      </rPr>
      <t>st</t>
    </r>
    <r>
      <rPr>
        <sz val="12"/>
        <color theme="1"/>
        <rFont val="Arial"/>
        <family val="2"/>
      </rPr>
      <t xml:space="preserve"> March 2024, for claiming relief under section 89(1) by a Government </t>
    </r>
  </si>
  <si>
    <t>Assistant Professor - Level 10</t>
  </si>
  <si>
    <t>Assistant Professor - Level 11</t>
  </si>
  <si>
    <t>Assistant Professor - Level 12</t>
  </si>
  <si>
    <t>Associate Professor - Level 13A</t>
  </si>
  <si>
    <t>Professor - Level 14</t>
  </si>
  <si>
    <t>Professor - Level 15</t>
  </si>
  <si>
    <t>College Librarian - Level 10</t>
  </si>
  <si>
    <t>College Librarian - Level 12</t>
  </si>
  <si>
    <t>College Librarian - Level 13A</t>
  </si>
  <si>
    <t>College Librarian - Level 11</t>
  </si>
  <si>
    <t>3. Income chargeable under the Head "Salaries" (1 - 2)</t>
  </si>
  <si>
    <t>4. Income from Other Sources</t>
  </si>
  <si>
    <t>5. Gross Total Income (3 + 4)</t>
  </si>
  <si>
    <t>6. Investment / Deposit / Payments for the purpose of claiming deduction under Chapter VIA</t>
  </si>
  <si>
    <t>8. Computation of Tax Payable</t>
  </si>
  <si>
    <t>7. Total Income (5 - 6)</t>
  </si>
  <si>
    <t>80C - Jeevan Raksha Padhathi (GPAIS)</t>
  </si>
  <si>
    <t>a. Tax Payable on Total Income (7) u/s 115BAC(1A)</t>
  </si>
  <si>
    <t>11. Details of Tax Deducted / Details of Tax to be Deducted</t>
  </si>
  <si>
    <t>10. Details of Tax Deducted / Details of Tax to be Deducted</t>
  </si>
  <si>
    <t>This income tax calculator is for those who are drawing the salary as per 7th UGC pay revision on March 2024 and onwards.</t>
  </si>
  <si>
    <t>Have you opted for the Old Tax Regime for the FY 2023-2024?</t>
  </si>
  <si>
    <t>2025-2026</t>
  </si>
  <si>
    <r>
      <rPr>
        <b/>
        <sz val="14"/>
        <color rgb="FF00B050"/>
        <rFont val="Comic Sans MS"/>
        <family val="4"/>
      </rPr>
      <t>Created By</t>
    </r>
    <r>
      <rPr>
        <b/>
        <sz val="14"/>
        <rFont val="Comic Sans MS"/>
        <family val="4"/>
      </rPr>
      <t xml:space="preserve"> : Dr. Libin Kuriakose, 
</t>
    </r>
    <r>
      <rPr>
        <b/>
        <sz val="10"/>
        <rFont val="Comic Sans MS"/>
        <family val="4"/>
      </rPr>
      <t>Academic Committee Convenor, AKPCTA MG University Area Committee/ Associate Professor, Department of Physics,
St. Thomas College, Palai.</t>
    </r>
  </si>
  <si>
    <r>
      <t xml:space="preserve">Income Tax Calculator in                 
</t>
    </r>
    <r>
      <rPr>
        <b/>
        <i/>
        <sz val="14"/>
        <color rgb="FFFF0000"/>
        <rFont val="Times New Roman"/>
        <family val="1"/>
      </rPr>
      <t>Old Regime of Tax Slab</t>
    </r>
  </si>
  <si>
    <t>THE FINANCIAL YEAR  2024  –  2025</t>
  </si>
  <si>
    <t>PROFORMA FOR CALCULATION OF INCOME TAX FOR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</si>
</sst>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 #,##0_ ;_ &quot;₹&quot;\ * \-#,##0_ ;_ &quot;₹&quot;\ * &quot;-&quot;_ ;_ @_ "/>
    <numFmt numFmtId="164" formatCode="_ * #,##0_-[$₹-44D]_ ;_ * #,##0\-[$₹-44D]_ ;_ * &quot;-&quot;_-[$₹-44D]_ ;_ @_ "/>
    <numFmt numFmtId="165" formatCode=";;;"/>
  </numFmts>
  <fonts count="85" x14ac:knownFonts="1">
    <font>
      <sz val="11"/>
      <color theme="1"/>
      <name val="Calibri"/>
      <family val="2"/>
      <scheme val="minor"/>
    </font>
    <font>
      <b/>
      <sz val="14"/>
      <color theme="1"/>
      <name val="Arial"/>
      <family val="2"/>
    </font>
    <font>
      <sz val="11"/>
      <color theme="1"/>
      <name val="Arial"/>
      <family val="2"/>
    </font>
    <font>
      <b/>
      <sz val="11"/>
      <color theme="1"/>
      <name val="Arial"/>
      <family val="2"/>
    </font>
    <font>
      <sz val="9"/>
      <color theme="1"/>
      <name val="Arial"/>
      <family val="2"/>
    </font>
    <font>
      <b/>
      <sz val="10"/>
      <color theme="1"/>
      <name val="Arial"/>
      <family val="2"/>
    </font>
    <font>
      <sz val="9"/>
      <color indexed="81"/>
      <name val="Tahoma"/>
      <family val="2"/>
    </font>
    <font>
      <b/>
      <sz val="9"/>
      <color indexed="81"/>
      <name val="Tahoma"/>
      <family val="2"/>
    </font>
    <font>
      <b/>
      <sz val="11"/>
      <color theme="1"/>
      <name val="Calibri"/>
      <family val="2"/>
      <scheme val="minor"/>
    </font>
    <font>
      <sz val="16"/>
      <color theme="1"/>
      <name val="Monotype Corsiva"/>
      <family val="4"/>
    </font>
    <font>
      <sz val="10"/>
      <color theme="1"/>
      <name val="Calibri"/>
      <family val="2"/>
      <scheme val="minor"/>
    </font>
    <font>
      <sz val="11"/>
      <color rgb="FFFF0000"/>
      <name val="Calibri"/>
      <family val="2"/>
      <scheme val="minor"/>
    </font>
    <font>
      <sz val="12"/>
      <color theme="1"/>
      <name val="Arial"/>
      <family val="2"/>
    </font>
    <font>
      <i/>
      <sz val="12"/>
      <color theme="1"/>
      <name val="Arial"/>
      <family val="2"/>
    </font>
    <font>
      <sz val="16"/>
      <name val="Monotype Corsiva"/>
      <family val="4"/>
    </font>
    <font>
      <i/>
      <sz val="11"/>
      <color theme="1"/>
      <name val="Arial"/>
      <family val="2"/>
    </font>
    <font>
      <b/>
      <i/>
      <sz val="11"/>
      <color theme="1"/>
      <name val="Arial"/>
      <family val="2"/>
    </font>
    <font>
      <b/>
      <sz val="9"/>
      <color theme="1"/>
      <name val="Arial"/>
      <family val="2"/>
    </font>
    <font>
      <vertAlign val="superscript"/>
      <sz val="12"/>
      <color theme="1"/>
      <name val="Arial"/>
      <family val="2"/>
    </font>
    <font>
      <sz val="11"/>
      <color theme="1"/>
      <name val="Times New Roman"/>
      <family val="1"/>
    </font>
    <font>
      <sz val="10"/>
      <color theme="1"/>
      <name val="Times New Roman"/>
      <family val="1"/>
    </font>
    <font>
      <b/>
      <sz val="14"/>
      <color theme="1"/>
      <name val="Times New Roman"/>
      <family val="1"/>
    </font>
    <font>
      <b/>
      <sz val="14"/>
      <color rgb="FF000000"/>
      <name val="Times New Roman"/>
      <family val="1"/>
    </font>
    <font>
      <b/>
      <sz val="11"/>
      <color theme="1"/>
      <name val="Times New Roman"/>
      <family val="1"/>
    </font>
    <font>
      <sz val="9"/>
      <color theme="1"/>
      <name val="Times New Roman"/>
      <family val="1"/>
    </font>
    <font>
      <sz val="10.5"/>
      <color theme="1"/>
      <name val="Times New Roman"/>
      <family val="1"/>
    </font>
    <font>
      <sz val="10.5"/>
      <color theme="1"/>
      <name val="Calibri"/>
      <family val="2"/>
      <scheme val="minor"/>
    </font>
    <font>
      <sz val="14"/>
      <color theme="1"/>
      <name val="Times New Roman"/>
      <family val="1"/>
    </font>
    <font>
      <b/>
      <sz val="14"/>
      <color theme="1"/>
      <name val="Comic Sans MS"/>
      <family val="4"/>
    </font>
    <font>
      <sz val="14"/>
      <color theme="1"/>
      <name val="Comic Sans MS"/>
      <family val="4"/>
    </font>
    <font>
      <b/>
      <sz val="11"/>
      <color rgb="FFFF0000"/>
      <name val="Times New Roman"/>
      <family val="1"/>
    </font>
    <font>
      <b/>
      <sz val="10.5"/>
      <color theme="1"/>
      <name val="Times New Roman"/>
      <family val="1"/>
    </font>
    <font>
      <b/>
      <sz val="11"/>
      <color rgb="FFFF0000"/>
      <name val="Comic Sans MS"/>
      <family val="4"/>
    </font>
    <font>
      <b/>
      <sz val="13.5"/>
      <color theme="1"/>
      <name val="Times New Roman"/>
      <family val="1"/>
    </font>
    <font>
      <sz val="13.5"/>
      <color theme="1"/>
      <name val="Calibri"/>
      <family val="2"/>
      <scheme val="minor"/>
    </font>
    <font>
      <b/>
      <sz val="10"/>
      <color rgb="FFFF0000"/>
      <name val="Arial"/>
      <family val="2"/>
    </font>
    <font>
      <b/>
      <sz val="9"/>
      <color rgb="FFFF0000"/>
      <name val="Arial"/>
      <family val="2"/>
    </font>
    <font>
      <b/>
      <sz val="10"/>
      <color rgb="FFFF0000"/>
      <name val="Calibri"/>
      <family val="2"/>
      <scheme val="minor"/>
    </font>
    <font>
      <b/>
      <sz val="10.8"/>
      <color theme="1"/>
      <name val="Times New Roman"/>
      <family val="1"/>
    </font>
    <font>
      <sz val="13.5"/>
      <color theme="1"/>
      <name val="Times New Roman"/>
      <family val="1"/>
    </font>
    <font>
      <sz val="10.8"/>
      <color theme="1"/>
      <name val="Times New Roman"/>
      <family val="1"/>
    </font>
    <font>
      <b/>
      <sz val="10"/>
      <color theme="1"/>
      <name val="Times New Roman"/>
      <family val="1"/>
    </font>
    <font>
      <b/>
      <sz val="9"/>
      <color theme="1"/>
      <name val="Times New Roman"/>
      <family val="1"/>
    </font>
    <font>
      <b/>
      <sz val="18"/>
      <color theme="1"/>
      <name val="Comic Sans MS"/>
      <family val="4"/>
    </font>
    <font>
      <sz val="11"/>
      <color theme="1"/>
      <name val="Comic Sans MS"/>
      <family val="4"/>
    </font>
    <font>
      <sz val="16"/>
      <color theme="1"/>
      <name val="Comic Sans MS"/>
      <family val="4"/>
    </font>
    <font>
      <b/>
      <i/>
      <sz val="14"/>
      <color theme="1"/>
      <name val="Times New Roman"/>
      <family val="1"/>
    </font>
    <font>
      <b/>
      <i/>
      <sz val="14"/>
      <color rgb="FFFF0000"/>
      <name val="Times New Roman"/>
      <family val="1"/>
    </font>
    <font>
      <b/>
      <i/>
      <sz val="14"/>
      <color theme="1"/>
      <name val="Calibri"/>
      <family val="2"/>
      <scheme val="minor"/>
    </font>
    <font>
      <b/>
      <sz val="14"/>
      <color rgb="FFFF0000"/>
      <name val="Times New Roman"/>
      <family val="1"/>
    </font>
    <font>
      <sz val="14"/>
      <color rgb="FFFF0000"/>
      <name val="Times New Roman"/>
      <family val="1"/>
    </font>
    <font>
      <b/>
      <sz val="12"/>
      <color theme="1"/>
      <name val="Calibri"/>
      <family val="2"/>
      <scheme val="minor"/>
    </font>
    <font>
      <b/>
      <sz val="12"/>
      <color theme="1"/>
      <name val="Comic Sans MS"/>
      <family val="4"/>
    </font>
    <font>
      <b/>
      <i/>
      <sz val="16"/>
      <color theme="1"/>
      <name val="Comic Sans MS"/>
      <family val="4"/>
    </font>
    <font>
      <i/>
      <sz val="16"/>
      <color theme="1"/>
      <name val="Calibri"/>
      <family val="2"/>
      <scheme val="minor"/>
    </font>
    <font>
      <b/>
      <i/>
      <sz val="12"/>
      <color theme="1"/>
      <name val="Times New Roman"/>
      <family val="1"/>
    </font>
    <font>
      <b/>
      <i/>
      <sz val="12"/>
      <color theme="1"/>
      <name val="Calibri"/>
      <family val="2"/>
      <scheme val="minor"/>
    </font>
    <font>
      <i/>
      <sz val="12"/>
      <color theme="1"/>
      <name val="Calibri"/>
      <family val="2"/>
      <scheme val="minor"/>
    </font>
    <font>
      <sz val="14"/>
      <color theme="1"/>
      <name val="Calibri"/>
      <family val="2"/>
      <scheme val="minor"/>
    </font>
    <font>
      <sz val="16"/>
      <color theme="1"/>
      <name val="Calibri"/>
      <family val="2"/>
      <scheme val="minor"/>
    </font>
    <font>
      <b/>
      <sz val="18"/>
      <color theme="1"/>
      <name val="Calibri"/>
      <family val="2"/>
      <scheme val="minor"/>
    </font>
    <font>
      <i/>
      <sz val="14"/>
      <color theme="1"/>
      <name val="Times New Roman"/>
      <family val="1"/>
    </font>
    <font>
      <sz val="18"/>
      <color theme="1"/>
      <name val="Comic Sans MS"/>
      <family val="4"/>
    </font>
    <font>
      <b/>
      <sz val="11"/>
      <color rgb="FF7030A0"/>
      <name val="Comic Sans MS"/>
      <family val="4"/>
    </font>
    <font>
      <sz val="11"/>
      <color rgb="FF7030A0"/>
      <name val="Calibri"/>
      <family val="2"/>
      <scheme val="minor"/>
    </font>
    <font>
      <b/>
      <sz val="14"/>
      <name val="Comic Sans MS"/>
      <family val="4"/>
    </font>
    <font>
      <sz val="11"/>
      <name val="Comic Sans MS"/>
      <family val="4"/>
    </font>
    <font>
      <b/>
      <i/>
      <sz val="16"/>
      <color rgb="FF00B050"/>
      <name val="Comic Sans MS"/>
      <family val="4"/>
    </font>
    <font>
      <i/>
      <sz val="16"/>
      <color rgb="FF00B050"/>
      <name val="Comic Sans MS"/>
      <family val="4"/>
    </font>
    <font>
      <i/>
      <sz val="16"/>
      <color rgb="FF00B050"/>
      <name val="Calibri"/>
      <family val="2"/>
      <scheme val="minor"/>
    </font>
    <font>
      <b/>
      <sz val="14"/>
      <color rgb="FF00B050"/>
      <name val="Comic Sans MS"/>
      <family val="4"/>
    </font>
    <font>
      <b/>
      <sz val="18"/>
      <color rgb="FF00B050"/>
      <name val="Comic Sans MS"/>
      <family val="4"/>
    </font>
    <font>
      <sz val="11"/>
      <color rgb="FF00B050"/>
      <name val="Comic Sans MS"/>
      <family val="4"/>
    </font>
    <font>
      <b/>
      <sz val="18"/>
      <color rgb="FF00B050"/>
      <name val="Calibri"/>
      <family val="2"/>
      <scheme val="minor"/>
    </font>
    <font>
      <b/>
      <sz val="10"/>
      <color theme="1"/>
      <name val="Calibri"/>
      <family val="2"/>
      <scheme val="minor"/>
    </font>
    <font>
      <b/>
      <sz val="10"/>
      <color rgb="FFFF0000"/>
      <name val="Times New Roman"/>
      <family val="1"/>
    </font>
    <font>
      <b/>
      <sz val="11"/>
      <color rgb="FFFF0000"/>
      <name val="Calibri"/>
      <family val="2"/>
      <scheme val="minor"/>
    </font>
    <font>
      <sz val="8"/>
      <color theme="1"/>
      <name val="Source Sans Pro"/>
      <family val="2"/>
    </font>
    <font>
      <b/>
      <sz val="10.5"/>
      <color rgb="FFFF0000"/>
      <name val="Times New Roman"/>
      <family val="1"/>
    </font>
    <font>
      <sz val="9"/>
      <color theme="1"/>
      <name val="Calibri"/>
      <family val="2"/>
      <scheme val="minor"/>
    </font>
    <font>
      <b/>
      <sz val="10"/>
      <name val="Comic Sans MS"/>
      <family val="4"/>
    </font>
    <font>
      <sz val="10.5"/>
      <color rgb="FFFF0000"/>
      <name val="Calibri"/>
      <family val="2"/>
      <scheme val="minor"/>
    </font>
    <font>
      <b/>
      <sz val="9"/>
      <color theme="1"/>
      <name val="Calibri"/>
      <family val="2"/>
      <scheme val="minor"/>
    </font>
    <font>
      <b/>
      <sz val="9.5"/>
      <color theme="1"/>
      <name val="Times New Roman"/>
      <family val="1"/>
    </font>
    <font>
      <b/>
      <sz val="9.5"/>
      <color theme="1"/>
      <name val="Calibri"/>
      <family val="2"/>
      <scheme val="minor"/>
    </font>
  </fonts>
  <fills count="11">
    <fill>
      <patternFill patternType="none"/>
    </fill>
    <fill>
      <patternFill patternType="gray125"/>
    </fill>
    <fill>
      <patternFill patternType="solid">
        <fgColor theme="9" tint="0.59996337778862885"/>
        <bgColor indexed="64"/>
      </patternFill>
    </fill>
    <fill>
      <patternFill patternType="solid">
        <fgColor rgb="FF00B0F0"/>
        <bgColor indexed="64"/>
      </patternFill>
    </fill>
    <fill>
      <patternFill patternType="solid">
        <fgColor theme="9" tint="-0.24994659260841701"/>
        <bgColor indexed="64"/>
      </patternFill>
    </fill>
    <fill>
      <patternFill patternType="solid">
        <fgColor theme="5" tint="0.39994506668294322"/>
        <bgColor indexed="64"/>
      </patternFill>
    </fill>
    <fill>
      <patternFill patternType="solid">
        <fgColor rgb="FF00B050"/>
        <bgColor indexed="64"/>
      </patternFill>
    </fill>
    <fill>
      <patternFill patternType="solid">
        <fgColor theme="3" tint="0.79998168889431442"/>
        <bgColor indexed="64"/>
      </patternFill>
    </fill>
    <fill>
      <patternFill patternType="solid">
        <fgColor theme="8" tint="0.59996337778862885"/>
        <bgColor indexed="64"/>
      </patternFill>
    </fill>
    <fill>
      <patternFill patternType="solid">
        <fgColor theme="3" tint="0.59996337778862885"/>
        <bgColor indexed="64"/>
      </patternFill>
    </fill>
    <fill>
      <patternFill patternType="solid">
        <fgColor theme="9"/>
        <bgColor indexed="64"/>
      </patternFill>
    </fill>
  </fills>
  <borders count="1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bottom/>
      <diagonal/>
    </border>
    <border>
      <left/>
      <right/>
      <top/>
      <bottom style="hair">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hair">
        <color auto="1"/>
      </top>
      <bottom/>
      <diagonal/>
    </border>
    <border>
      <left style="thin">
        <color auto="1"/>
      </left>
      <right style="thin">
        <color auto="1"/>
      </right>
      <top style="thin">
        <color auto="1"/>
      </top>
      <bottom style="thin">
        <color auto="1"/>
      </bottom>
      <diagonal/>
    </border>
  </borders>
  <cellStyleXfs count="1">
    <xf numFmtId="0" fontId="0" fillId="0" borderId="0"/>
  </cellStyleXfs>
  <cellXfs count="550">
    <xf numFmtId="0" fontId="0" fillId="0" borderId="0" xfId="0"/>
    <xf numFmtId="0" fontId="2" fillId="0" borderId="0" xfId="0" applyFont="1"/>
    <xf numFmtId="0" fontId="11" fillId="0" borderId="0" xfId="0" applyFont="1"/>
    <xf numFmtId="164" fontId="8" fillId="0" borderId="0" xfId="0" applyNumberFormat="1" applyFont="1" applyAlignment="1">
      <alignment horizontal="center" vertical="center"/>
    </xf>
    <xf numFmtId="0" fontId="8" fillId="0" borderId="0" xfId="0" applyFont="1" applyAlignment="1">
      <alignment horizontal="center" vertical="center"/>
    </xf>
    <xf numFmtId="0" fontId="15" fillId="0" borderId="0" xfId="0" applyFont="1" applyAlignment="1">
      <alignment horizontal="center" vertical="center"/>
    </xf>
    <xf numFmtId="165" fontId="0" fillId="0" borderId="0" xfId="0" applyNumberFormat="1"/>
    <xf numFmtId="0" fontId="0" fillId="0" borderId="0" xfId="0" applyAlignment="1">
      <alignment wrapText="1"/>
    </xf>
    <xf numFmtId="0" fontId="2" fillId="0" borderId="0" xfId="0" applyFont="1" applyAlignment="1">
      <alignment horizontal="left" vertical="center"/>
    </xf>
    <xf numFmtId="0" fontId="2" fillId="0" borderId="17" xfId="0" applyFont="1" applyBorder="1"/>
    <xf numFmtId="0" fontId="2" fillId="0" borderId="3" xfId="0" applyFont="1" applyBorder="1" applyAlignment="1">
      <alignment horizontal="left" vertical="center"/>
    </xf>
    <xf numFmtId="0" fontId="2" fillId="0" borderId="3" xfId="0" applyFont="1" applyBorder="1"/>
    <xf numFmtId="0" fontId="19" fillId="0" borderId="0" xfId="0" applyFont="1"/>
    <xf numFmtId="42" fontId="0" fillId="0" borderId="0" xfId="0" applyNumberFormat="1" applyAlignment="1">
      <alignment horizontal="right" vertical="center"/>
    </xf>
    <xf numFmtId="0" fontId="0" fillId="0" borderId="0" xfId="0" applyAlignment="1">
      <alignment horizontal="center" vertical="center"/>
    </xf>
    <xf numFmtId="0" fontId="19" fillId="0" borderId="5" xfId="0" applyFont="1" applyBorder="1"/>
    <xf numFmtId="0" fontId="0" fillId="0" borderId="5" xfId="0" applyBorder="1"/>
    <xf numFmtId="0" fontId="19" fillId="0" borderId="8" xfId="0" applyFont="1" applyBorder="1"/>
    <xf numFmtId="0" fontId="0" fillId="0" borderId="8" xfId="0" applyBorder="1"/>
    <xf numFmtId="0" fontId="19" fillId="0" borderId="2" xfId="0" applyFont="1" applyBorder="1"/>
    <xf numFmtId="0" fontId="19" fillId="0" borderId="11" xfId="0" applyFont="1" applyBorder="1"/>
    <xf numFmtId="0" fontId="0" fillId="0" borderId="10" xfId="0" applyBorder="1"/>
    <xf numFmtId="0" fontId="19" fillId="0" borderId="7" xfId="0" applyFont="1" applyBorder="1"/>
    <xf numFmtId="0" fontId="0" fillId="0" borderId="9" xfId="0" applyBorder="1"/>
    <xf numFmtId="0" fontId="19" fillId="0" borderId="11" xfId="0" applyFont="1" applyBorder="1" applyAlignment="1">
      <alignment horizontal="left" vertical="center" wrapText="1"/>
    </xf>
    <xf numFmtId="0" fontId="23" fillId="0" borderId="2" xfId="0" applyFont="1" applyBorder="1"/>
    <xf numFmtId="0" fontId="19" fillId="0" borderId="10" xfId="0" applyFont="1" applyBorder="1"/>
    <xf numFmtId="0" fontId="19" fillId="0" borderId="0" xfId="0" applyFont="1" applyAlignment="1">
      <alignment horizontal="center" vertical="center"/>
    </xf>
    <xf numFmtId="0" fontId="0" fillId="0" borderId="6" xfId="0" applyBorder="1"/>
    <xf numFmtId="0" fontId="19" fillId="0" borderId="0" xfId="0" applyFont="1" applyAlignment="1">
      <alignment horizontal="left" vertical="center"/>
    </xf>
    <xf numFmtId="49" fontId="23" fillId="0" borderId="11" xfId="0" applyNumberFormat="1" applyFont="1" applyBorder="1" applyAlignment="1">
      <alignment horizontal="left" vertical="center"/>
    </xf>
    <xf numFmtId="49" fontId="23" fillId="0" borderId="0" xfId="0" applyNumberFormat="1" applyFont="1" applyAlignment="1">
      <alignment horizontal="left" vertical="center"/>
    </xf>
    <xf numFmtId="49" fontId="19" fillId="0" borderId="0" xfId="0" applyNumberFormat="1" applyFont="1" applyAlignment="1">
      <alignment horizontal="left" vertical="center"/>
    </xf>
    <xf numFmtId="0" fontId="30" fillId="0" borderId="8" xfId="0" applyFont="1" applyBorder="1"/>
    <xf numFmtId="0" fontId="8" fillId="0" borderId="0" xfId="0" applyFont="1" applyAlignment="1">
      <alignment horizontal="left" vertical="center"/>
    </xf>
    <xf numFmtId="0" fontId="30" fillId="0" borderId="0" xfId="0" applyFont="1"/>
    <xf numFmtId="0" fontId="21" fillId="0" borderId="0" xfId="0" applyFont="1" applyAlignment="1">
      <alignment horizontal="center" vertical="center"/>
    </xf>
    <xf numFmtId="165" fontId="19" fillId="0" borderId="5" xfId="0" applyNumberFormat="1" applyFont="1" applyBorder="1"/>
    <xf numFmtId="0" fontId="36" fillId="0" borderId="0" xfId="0" applyFont="1"/>
    <xf numFmtId="0" fontId="35" fillId="0" borderId="11" xfId="0" applyFont="1" applyBorder="1" applyAlignment="1">
      <alignment horizontal="left" vertical="center"/>
    </xf>
    <xf numFmtId="0" fontId="37" fillId="0" borderId="0" xfId="0" applyFont="1" applyAlignment="1">
      <alignment horizontal="left" vertical="center"/>
    </xf>
    <xf numFmtId="0" fontId="37" fillId="0" borderId="11" xfId="0" applyFont="1" applyBorder="1" applyAlignment="1">
      <alignment horizontal="left" vertical="center"/>
    </xf>
    <xf numFmtId="0" fontId="19" fillId="0" borderId="9" xfId="0" applyFont="1" applyBorder="1"/>
    <xf numFmtId="165" fontId="19" fillId="0" borderId="0" xfId="0" applyNumberFormat="1" applyFont="1"/>
    <xf numFmtId="0" fontId="19" fillId="0" borderId="6" xfId="0" applyFont="1" applyBorder="1"/>
    <xf numFmtId="0" fontId="19" fillId="0" borderId="3" xfId="0" applyFont="1" applyBorder="1"/>
    <xf numFmtId="42" fontId="19" fillId="0" borderId="0" xfId="0" applyNumberFormat="1" applyFont="1" applyAlignment="1">
      <alignment horizontal="right" vertical="center"/>
    </xf>
    <xf numFmtId="0" fontId="19" fillId="0" borderId="0" xfId="0" applyFont="1" applyAlignment="1">
      <alignment horizontal="left" vertical="center" wrapText="1"/>
    </xf>
    <xf numFmtId="0" fontId="44" fillId="0" borderId="0" xfId="0" applyFont="1"/>
    <xf numFmtId="165" fontId="44" fillId="0" borderId="0" xfId="0" applyNumberFormat="1" applyFont="1"/>
    <xf numFmtId="42" fontId="21" fillId="0" borderId="0" xfId="0" applyNumberFormat="1" applyFont="1" applyAlignment="1">
      <alignment horizontal="left" vertical="center"/>
    </xf>
    <xf numFmtId="0" fontId="27" fillId="0" borderId="0" xfId="0" applyFont="1"/>
    <xf numFmtId="42" fontId="27" fillId="0" borderId="0" xfId="0" applyNumberFormat="1" applyFont="1" applyAlignment="1">
      <alignment horizontal="left" vertical="center"/>
    </xf>
    <xf numFmtId="0" fontId="27" fillId="0" borderId="0" xfId="0" applyFont="1" applyAlignment="1">
      <alignment horizontal="left" vertical="center"/>
    </xf>
    <xf numFmtId="0" fontId="21" fillId="0" borderId="0" xfId="0" applyFont="1" applyAlignment="1">
      <alignment horizontal="left" vertical="center"/>
    </xf>
    <xf numFmtId="0" fontId="0" fillId="0" borderId="0" xfId="0" applyAlignment="1">
      <alignment horizontal="center" vertical="center" wrapText="1"/>
    </xf>
    <xf numFmtId="0" fontId="23" fillId="0" borderId="11" xfId="0" applyFont="1" applyBorder="1" applyAlignment="1">
      <alignment horizontal="left" vertical="center"/>
    </xf>
    <xf numFmtId="0" fontId="23" fillId="0" borderId="7" xfId="0" applyFont="1" applyBorder="1" applyAlignment="1">
      <alignment horizontal="left" vertical="center"/>
    </xf>
    <xf numFmtId="0" fontId="46" fillId="0" borderId="0" xfId="0" applyFont="1" applyAlignment="1">
      <alignment horizontal="center" vertical="center" wrapText="1"/>
    </xf>
    <xf numFmtId="0" fontId="48" fillId="0" borderId="0" xfId="0" applyFont="1" applyAlignment="1">
      <alignment horizontal="center" vertical="center" wrapText="1"/>
    </xf>
    <xf numFmtId="0" fontId="1" fillId="0" borderId="0" xfId="0" applyFont="1" applyAlignment="1">
      <alignment horizontal="center" vertical="center"/>
    </xf>
    <xf numFmtId="0" fontId="12" fillId="0" borderId="0" xfId="0" applyFont="1" applyAlignment="1">
      <alignment horizontal="center" vertical="center"/>
    </xf>
    <xf numFmtId="0" fontId="2" fillId="0" borderId="0" xfId="0" applyFont="1" applyAlignment="1">
      <alignment horizontal="center" vertical="center"/>
    </xf>
    <xf numFmtId="0" fontId="9" fillId="0" borderId="0" xfId="0" applyFont="1" applyAlignment="1">
      <alignment horizontal="left" vertical="center"/>
    </xf>
    <xf numFmtId="0" fontId="14" fillId="0" borderId="0" xfId="0" applyFont="1" applyAlignment="1">
      <alignment horizontal="left" vertical="center"/>
    </xf>
    <xf numFmtId="0" fontId="3" fillId="0" borderId="0" xfId="0" applyFont="1" applyAlignment="1">
      <alignment horizontal="center" vertical="center"/>
    </xf>
    <xf numFmtId="0" fontId="16" fillId="0" borderId="0" xfId="0" applyFont="1" applyAlignment="1">
      <alignment horizontal="center" vertical="center"/>
    </xf>
    <xf numFmtId="0" fontId="3" fillId="0" borderId="0" xfId="0" applyFont="1"/>
    <xf numFmtId="42" fontId="28" fillId="0" borderId="0" xfId="0" applyNumberFormat="1" applyFont="1" applyAlignment="1">
      <alignment horizontal="left" vertical="center"/>
    </xf>
    <xf numFmtId="0" fontId="28" fillId="0" borderId="0" xfId="0" applyFont="1" applyAlignment="1">
      <alignment horizontal="left" vertical="center"/>
    </xf>
    <xf numFmtId="0" fontId="29" fillId="0" borderId="0" xfId="0" applyFont="1"/>
    <xf numFmtId="0" fontId="46" fillId="0" borderId="0" xfId="0" applyFont="1" applyAlignment="1">
      <alignment horizontal="left" vertical="center"/>
    </xf>
    <xf numFmtId="0" fontId="0" fillId="0" borderId="0" xfId="0" applyAlignment="1">
      <alignment horizontal="left" vertical="center"/>
    </xf>
    <xf numFmtId="0" fontId="45" fillId="0" borderId="0" xfId="0" applyFont="1" applyAlignment="1">
      <alignment horizontal="center"/>
    </xf>
    <xf numFmtId="0" fontId="32" fillId="0" borderId="0" xfId="0" applyFont="1" applyAlignment="1">
      <alignment horizontal="left" vertical="center" wrapText="1"/>
    </xf>
    <xf numFmtId="0" fontId="11" fillId="0" borderId="0" xfId="0" applyFont="1" applyAlignment="1">
      <alignment horizontal="left" vertical="center" wrapText="1"/>
    </xf>
    <xf numFmtId="0" fontId="45" fillId="0" borderId="0" xfId="0" applyFont="1" applyAlignment="1">
      <alignment horizontal="left" vertical="center"/>
    </xf>
    <xf numFmtId="0" fontId="23" fillId="0" borderId="11" xfId="0" applyFont="1" applyBorder="1" applyAlignment="1">
      <alignment horizontal="left" vertical="center" wrapText="1"/>
    </xf>
    <xf numFmtId="165" fontId="2" fillId="0" borderId="0" xfId="0" applyNumberFormat="1" applyFont="1"/>
    <xf numFmtId="165" fontId="19" fillId="0" borderId="8" xfId="0" applyNumberFormat="1" applyFont="1" applyBorder="1"/>
    <xf numFmtId="0" fontId="30" fillId="0" borderId="0" xfId="0" applyFont="1" applyAlignment="1">
      <alignment horizontal="left" vertical="center"/>
    </xf>
    <xf numFmtId="0" fontId="19" fillId="0" borderId="17" xfId="0" applyFont="1" applyBorder="1" applyAlignment="1">
      <alignment horizontal="center" vertical="center"/>
    </xf>
    <xf numFmtId="0" fontId="19" fillId="0" borderId="15" xfId="0" applyFont="1" applyBorder="1"/>
    <xf numFmtId="0" fontId="19" fillId="0" borderId="3" xfId="0" applyFont="1" applyBorder="1" applyAlignment="1">
      <alignment horizontal="center" vertical="center"/>
    </xf>
    <xf numFmtId="0" fontId="19" fillId="0" borderId="11" xfId="0" applyFont="1" applyBorder="1" applyAlignment="1">
      <alignment vertical="center"/>
    </xf>
    <xf numFmtId="0" fontId="19" fillId="0" borderId="0" xfId="0" applyFont="1" applyAlignment="1">
      <alignment vertical="center"/>
    </xf>
    <xf numFmtId="0" fontId="19" fillId="0" borderId="8" xfId="0" applyFont="1" applyBorder="1" applyAlignment="1">
      <alignment horizontal="center" vertical="center"/>
    </xf>
    <xf numFmtId="0" fontId="0" fillId="0" borderId="0" xfId="0" applyAlignment="1">
      <alignment horizontal="left" vertical="center" wrapText="1"/>
    </xf>
    <xf numFmtId="0" fontId="46" fillId="0" borderId="0" xfId="0" applyFont="1" applyAlignment="1">
      <alignment horizontal="left" vertical="center" wrapText="1"/>
    </xf>
    <xf numFmtId="0" fontId="48" fillId="0" borderId="0" xfId="0" applyFont="1" applyAlignment="1">
      <alignment horizontal="left" vertical="center" wrapText="1"/>
    </xf>
    <xf numFmtId="0" fontId="0" fillId="0" borderId="8" xfId="0" applyBorder="1" applyAlignment="1">
      <alignment horizontal="center" vertical="center"/>
    </xf>
    <xf numFmtId="0" fontId="76" fillId="0" borderId="0" xfId="0" applyFont="1"/>
    <xf numFmtId="0" fontId="0" fillId="0" borderId="0" xfId="0" applyAlignment="1">
      <alignment vertical="center"/>
    </xf>
    <xf numFmtId="165" fontId="8" fillId="0" borderId="0" xfId="0" applyNumberFormat="1" applyFont="1" applyAlignment="1">
      <alignment horizontal="center" vertical="center"/>
    </xf>
    <xf numFmtId="0" fontId="23" fillId="0" borderId="0" xfId="0" applyFont="1" applyAlignment="1">
      <alignment horizontal="left" vertical="center"/>
    </xf>
    <xf numFmtId="0" fontId="8" fillId="0" borderId="0" xfId="0" applyFont="1" applyAlignment="1">
      <alignment horizontal="left" vertical="center"/>
    </xf>
    <xf numFmtId="0" fontId="0" fillId="0" borderId="0" xfId="0" applyAlignment="1">
      <alignment horizontal="left" vertical="center"/>
    </xf>
    <xf numFmtId="0" fontId="23" fillId="8" borderId="1" xfId="0" applyFont="1" applyFill="1" applyBorder="1" applyAlignment="1" applyProtection="1">
      <alignment horizontal="left" vertical="center"/>
      <protection locked="0"/>
    </xf>
    <xf numFmtId="0" fontId="8" fillId="8" borderId="2" xfId="0" applyFont="1" applyFill="1" applyBorder="1" applyAlignment="1" applyProtection="1">
      <alignment horizontal="left" vertical="center"/>
      <protection locked="0"/>
    </xf>
    <xf numFmtId="0" fontId="8" fillId="8" borderId="3" xfId="0" applyFont="1" applyFill="1" applyBorder="1" applyAlignment="1" applyProtection="1">
      <alignment horizontal="left" vertical="center"/>
      <protection locked="0"/>
    </xf>
    <xf numFmtId="0" fontId="65" fillId="0" borderId="0" xfId="0" applyFont="1" applyAlignment="1">
      <alignment horizontal="center" vertical="center" wrapText="1"/>
    </xf>
    <xf numFmtId="0" fontId="66" fillId="0" borderId="0" xfId="0" applyFont="1" applyAlignment="1">
      <alignment horizontal="center" vertical="center" wrapText="1"/>
    </xf>
    <xf numFmtId="0" fontId="23" fillId="8" borderId="1" xfId="0" applyFont="1" applyFill="1" applyBorder="1" applyAlignment="1" applyProtection="1">
      <alignment horizontal="left" vertical="center" wrapText="1"/>
      <protection locked="0"/>
    </xf>
    <xf numFmtId="0" fontId="23" fillId="8" borderId="2" xfId="0" applyFont="1" applyFill="1" applyBorder="1" applyAlignment="1" applyProtection="1">
      <alignment horizontal="left" vertical="center"/>
      <protection locked="0"/>
    </xf>
    <xf numFmtId="0" fontId="0" fillId="8" borderId="2" xfId="0" applyFill="1" applyBorder="1" applyAlignment="1" applyProtection="1">
      <alignment horizontal="left" vertical="center"/>
      <protection locked="0"/>
    </xf>
    <xf numFmtId="0" fontId="0" fillId="8" borderId="3" xfId="0" applyFill="1" applyBorder="1" applyAlignment="1" applyProtection="1">
      <alignment horizontal="left" vertical="center"/>
      <protection locked="0"/>
    </xf>
    <xf numFmtId="0" fontId="23" fillId="8" borderId="3" xfId="0" applyFont="1" applyFill="1" applyBorder="1" applyAlignment="1" applyProtection="1">
      <alignment horizontal="left" vertical="center"/>
      <protection locked="0"/>
    </xf>
    <xf numFmtId="49" fontId="23" fillId="8" borderId="1" xfId="0" applyNumberFormat="1" applyFont="1" applyFill="1" applyBorder="1" applyAlignment="1" applyProtection="1">
      <alignment horizontal="left" vertical="center"/>
      <protection locked="0"/>
    </xf>
    <xf numFmtId="0" fontId="63" fillId="0" borderId="0" xfId="0" applyFont="1" applyAlignment="1">
      <alignment horizontal="center" vertical="center" wrapText="1"/>
    </xf>
    <xf numFmtId="0" fontId="64" fillId="0" borderId="0" xfId="0" applyFont="1" applyAlignment="1">
      <alignment horizontal="center" vertical="center" wrapText="1"/>
    </xf>
    <xf numFmtId="0" fontId="52" fillId="0" borderId="0" xfId="0" applyFont="1" applyAlignment="1">
      <alignment horizontal="center" vertical="center"/>
    </xf>
    <xf numFmtId="0" fontId="67" fillId="0" borderId="0" xfId="0" applyFont="1" applyAlignment="1">
      <alignment horizontal="center"/>
    </xf>
    <xf numFmtId="0" fontId="68" fillId="0" borderId="0" xfId="0" applyFont="1" applyAlignment="1">
      <alignment horizontal="center"/>
    </xf>
    <xf numFmtId="0" fontId="69" fillId="0" borderId="0" xfId="0" applyFont="1"/>
    <xf numFmtId="0" fontId="54" fillId="0" borderId="0" xfId="0" applyFont="1" applyAlignment="1">
      <alignment horizontal="center"/>
    </xf>
    <xf numFmtId="0" fontId="32" fillId="0" borderId="0" xfId="0" applyFont="1" applyAlignment="1">
      <alignment horizontal="center" vertical="center" wrapText="1"/>
    </xf>
    <xf numFmtId="0" fontId="0" fillId="0" borderId="0" xfId="0" applyAlignment="1">
      <alignment horizontal="center" vertical="center" wrapText="1"/>
    </xf>
    <xf numFmtId="0" fontId="52" fillId="8" borderId="0" xfId="0" applyFont="1" applyFill="1" applyAlignment="1">
      <alignment horizontal="center" vertical="center"/>
    </xf>
    <xf numFmtId="0" fontId="51" fillId="8" borderId="0" xfId="0" applyFont="1" applyFill="1" applyAlignment="1">
      <alignment horizontal="center" vertical="center"/>
    </xf>
    <xf numFmtId="0" fontId="41" fillId="0" borderId="0" xfId="0" applyFont="1" applyAlignment="1">
      <alignment horizontal="left" vertical="center"/>
    </xf>
    <xf numFmtId="0" fontId="74" fillId="0" borderId="0" xfId="0" applyFont="1" applyAlignment="1">
      <alignment horizontal="left" vertical="center"/>
    </xf>
    <xf numFmtId="42" fontId="23" fillId="8" borderId="1" xfId="0" applyNumberFormat="1" applyFont="1" applyFill="1" applyBorder="1" applyAlignment="1" applyProtection="1">
      <alignment horizontal="left" vertical="center"/>
      <protection locked="0"/>
    </xf>
    <xf numFmtId="42" fontId="0" fillId="8" borderId="2" xfId="0" applyNumberFormat="1" applyFill="1" applyBorder="1" applyAlignment="1" applyProtection="1">
      <alignment horizontal="left" vertical="center"/>
      <protection locked="0"/>
    </xf>
    <xf numFmtId="42" fontId="0" fillId="8" borderId="3" xfId="0" applyNumberFormat="1" applyFill="1" applyBorder="1" applyAlignment="1" applyProtection="1">
      <alignment horizontal="left" vertical="center"/>
      <protection locked="0"/>
    </xf>
    <xf numFmtId="0" fontId="55" fillId="0" borderId="0" xfId="0" applyFont="1" applyAlignment="1">
      <alignment horizontal="center" vertical="center"/>
    </xf>
    <xf numFmtId="0" fontId="56" fillId="0" borderId="0" xfId="0" applyFont="1" applyAlignment="1">
      <alignment horizontal="center" vertical="center"/>
    </xf>
    <xf numFmtId="0" fontId="57" fillId="0" borderId="0" xfId="0" applyFont="1" applyAlignment="1">
      <alignment horizontal="center" vertical="center"/>
    </xf>
    <xf numFmtId="42" fontId="41" fillId="8" borderId="1" xfId="0" applyNumberFormat="1" applyFont="1" applyFill="1" applyBorder="1" applyAlignment="1" applyProtection="1">
      <alignment horizontal="right" vertical="center"/>
      <protection locked="0"/>
    </xf>
    <xf numFmtId="42" fontId="74" fillId="8" borderId="2" xfId="0" applyNumberFormat="1" applyFont="1" applyFill="1" applyBorder="1" applyAlignment="1" applyProtection="1">
      <alignment horizontal="right" vertical="center"/>
      <protection locked="0"/>
    </xf>
    <xf numFmtId="0" fontId="0" fillId="0" borderId="3" xfId="0" applyBorder="1" applyAlignment="1" applyProtection="1">
      <alignment horizontal="right" vertical="center"/>
      <protection locked="0"/>
    </xf>
    <xf numFmtId="42" fontId="74" fillId="8" borderId="3" xfId="0" applyNumberFormat="1" applyFont="1" applyFill="1" applyBorder="1" applyAlignment="1" applyProtection="1">
      <alignment horizontal="right" vertical="center"/>
      <protection locked="0"/>
    </xf>
    <xf numFmtId="0" fontId="23" fillId="0" borderId="0" xfId="0" applyFont="1" applyAlignment="1">
      <alignment horizontal="left" vertical="center" wrapText="1"/>
    </xf>
    <xf numFmtId="0" fontId="0" fillId="0" borderId="0" xfId="0" applyAlignment="1">
      <alignment horizontal="left" vertical="center" wrapText="1"/>
    </xf>
    <xf numFmtId="0" fontId="23" fillId="0" borderId="0" xfId="0" applyFont="1" applyAlignment="1">
      <alignment horizontal="center" vertical="center"/>
    </xf>
    <xf numFmtId="0" fontId="8" fillId="0" borderId="0" xfId="0" applyFont="1" applyAlignment="1">
      <alignment horizontal="center" vertical="center"/>
    </xf>
    <xf numFmtId="0" fontId="23" fillId="8" borderId="4" xfId="0" applyFont="1" applyFill="1" applyBorder="1" applyAlignment="1" applyProtection="1">
      <alignment horizontal="center" vertical="center"/>
      <protection locked="0"/>
    </xf>
    <xf numFmtId="0" fontId="8" fillId="8" borderId="5" xfId="0" applyFont="1" applyFill="1" applyBorder="1" applyAlignment="1" applyProtection="1">
      <alignment horizontal="center" vertical="center"/>
      <protection locked="0"/>
    </xf>
    <xf numFmtId="0" fontId="8" fillId="8" borderId="6" xfId="0" applyFont="1" applyFill="1" applyBorder="1" applyAlignment="1" applyProtection="1">
      <alignment horizontal="center" vertical="center"/>
      <protection locked="0"/>
    </xf>
    <xf numFmtId="0" fontId="8" fillId="8" borderId="7" xfId="0" applyFont="1" applyFill="1" applyBorder="1" applyAlignment="1" applyProtection="1">
      <alignment horizontal="center" vertical="center"/>
      <protection locked="0"/>
    </xf>
    <xf numFmtId="0" fontId="8" fillId="8" borderId="8" xfId="0" applyFont="1" applyFill="1" applyBorder="1" applyAlignment="1" applyProtection="1">
      <alignment horizontal="center" vertical="center"/>
      <protection locked="0"/>
    </xf>
    <xf numFmtId="0" fontId="8" fillId="8" borderId="9" xfId="0" applyFont="1" applyFill="1" applyBorder="1" applyAlignment="1" applyProtection="1">
      <alignment horizontal="center" vertical="center"/>
      <protection locked="0"/>
    </xf>
    <xf numFmtId="49" fontId="0" fillId="8" borderId="2" xfId="0" applyNumberFormat="1" applyFill="1" applyBorder="1" applyAlignment="1" applyProtection="1">
      <alignment horizontal="left" vertical="center"/>
      <protection locked="0"/>
    </xf>
    <xf numFmtId="49" fontId="0" fillId="8" borderId="3" xfId="0" applyNumberFormat="1" applyFill="1" applyBorder="1" applyAlignment="1" applyProtection="1">
      <alignment horizontal="left" vertical="center"/>
      <protection locked="0"/>
    </xf>
    <xf numFmtId="42" fontId="20" fillId="6" borderId="1" xfId="0" applyNumberFormat="1" applyFont="1" applyFill="1" applyBorder="1" applyAlignment="1">
      <alignment horizontal="right" vertical="center"/>
    </xf>
    <xf numFmtId="0" fontId="10" fillId="0" borderId="2" xfId="0" applyFont="1" applyBorder="1" applyAlignment="1">
      <alignment horizontal="right" vertical="center"/>
    </xf>
    <xf numFmtId="0" fontId="10" fillId="0" borderId="3" xfId="0" applyFont="1" applyBorder="1" applyAlignment="1">
      <alignment horizontal="right" vertical="center"/>
    </xf>
    <xf numFmtId="42" fontId="42" fillId="6" borderId="1" xfId="0" applyNumberFormat="1" applyFont="1" applyFill="1" applyBorder="1" applyAlignment="1">
      <alignment horizontal="right" vertical="center"/>
    </xf>
    <xf numFmtId="0" fontId="82" fillId="0" borderId="2" xfId="0" applyFont="1" applyBorder="1" applyAlignment="1">
      <alignment horizontal="right" vertical="center"/>
    </xf>
    <xf numFmtId="0" fontId="82" fillId="0" borderId="3" xfId="0" applyFont="1" applyBorder="1" applyAlignment="1">
      <alignment horizontal="right" vertical="center"/>
    </xf>
    <xf numFmtId="42" fontId="10" fillId="0" borderId="2" xfId="0" applyNumberFormat="1" applyFont="1" applyBorder="1" applyAlignment="1">
      <alignment horizontal="right" vertical="center"/>
    </xf>
    <xf numFmtId="42" fontId="10" fillId="0" borderId="3" xfId="0" applyNumberFormat="1" applyFont="1" applyBorder="1" applyAlignment="1">
      <alignment horizontal="right" vertical="center"/>
    </xf>
    <xf numFmtId="0" fontId="19" fillId="0" borderId="1" xfId="0" applyFont="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19" fillId="0" borderId="2" xfId="0" applyFont="1" applyBorder="1" applyAlignment="1">
      <alignment horizontal="left" vertical="center" wrapText="1"/>
    </xf>
    <xf numFmtId="42" fontId="19" fillId="7" borderId="1" xfId="0" applyNumberFormat="1" applyFont="1" applyFill="1" applyBorder="1" applyAlignment="1" applyProtection="1">
      <alignment horizontal="right" vertical="center"/>
      <protection locked="0"/>
    </xf>
    <xf numFmtId="42" fontId="19" fillId="7" borderId="2" xfId="0" applyNumberFormat="1" applyFont="1" applyFill="1" applyBorder="1" applyAlignment="1" applyProtection="1">
      <alignment horizontal="right" vertical="center"/>
      <protection locked="0"/>
    </xf>
    <xf numFmtId="42" fontId="19" fillId="7" borderId="3" xfId="0" applyNumberFormat="1" applyFont="1" applyFill="1" applyBorder="1" applyAlignment="1" applyProtection="1">
      <alignment horizontal="right" vertical="center"/>
      <protection locked="0"/>
    </xf>
    <xf numFmtId="42" fontId="23" fillId="6" borderId="1" xfId="0" applyNumberFormat="1" applyFont="1" applyFill="1" applyBorder="1" applyAlignment="1">
      <alignment horizontal="right" vertical="center"/>
    </xf>
    <xf numFmtId="42" fontId="23" fillId="6" borderId="2" xfId="0" applyNumberFormat="1" applyFont="1" applyFill="1" applyBorder="1" applyAlignment="1">
      <alignment horizontal="right" vertical="center"/>
    </xf>
    <xf numFmtId="42" fontId="23" fillId="6" borderId="3" xfId="0" applyNumberFormat="1" applyFont="1" applyFill="1" applyBorder="1" applyAlignment="1">
      <alignment horizontal="right" vertical="center"/>
    </xf>
    <xf numFmtId="42" fontId="19" fillId="6" borderId="1" xfId="0" applyNumberFormat="1" applyFont="1" applyFill="1" applyBorder="1" applyAlignment="1">
      <alignment horizontal="right" vertical="center"/>
    </xf>
    <xf numFmtId="42" fontId="19" fillId="6" borderId="2" xfId="0" applyNumberFormat="1" applyFont="1" applyFill="1" applyBorder="1" applyAlignment="1">
      <alignment horizontal="right" vertical="center"/>
    </xf>
    <xf numFmtId="42" fontId="19" fillId="6" borderId="3" xfId="0" applyNumberFormat="1" applyFont="1" applyFill="1" applyBorder="1" applyAlignment="1">
      <alignment horizontal="right" vertical="center"/>
    </xf>
    <xf numFmtId="0" fontId="19" fillId="0" borderId="17" xfId="0" applyFont="1" applyBorder="1" applyAlignment="1">
      <alignment horizontal="center" vertical="center"/>
    </xf>
    <xf numFmtId="42" fontId="19" fillId="7" borderId="17" xfId="0" applyNumberFormat="1" applyFont="1" applyFill="1" applyBorder="1" applyAlignment="1" applyProtection="1">
      <alignment horizontal="right" vertical="center"/>
      <protection locked="0"/>
    </xf>
    <xf numFmtId="0" fontId="41" fillId="7" borderId="1" xfId="0" applyFont="1" applyFill="1" applyBorder="1" applyAlignment="1" applyProtection="1">
      <alignment horizontal="left" vertical="center" wrapText="1"/>
      <protection locked="0"/>
    </xf>
    <xf numFmtId="0" fontId="20" fillId="7" borderId="2" xfId="0" applyFont="1" applyFill="1" applyBorder="1" applyAlignment="1" applyProtection="1">
      <alignment horizontal="left" vertical="center" wrapText="1"/>
      <protection locked="0"/>
    </xf>
    <xf numFmtId="0" fontId="20" fillId="7" borderId="3" xfId="0" applyFont="1" applyFill="1" applyBorder="1" applyAlignment="1" applyProtection="1">
      <alignment horizontal="left" vertical="center" wrapText="1"/>
      <protection locked="0"/>
    </xf>
    <xf numFmtId="0" fontId="19" fillId="0" borderId="2" xfId="0" applyFont="1" applyBorder="1" applyAlignment="1">
      <alignment horizontal="left" vertical="center"/>
    </xf>
    <xf numFmtId="0" fontId="19" fillId="0" borderId="3" xfId="0" applyFont="1" applyBorder="1" applyAlignment="1">
      <alignment horizontal="left" vertical="center"/>
    </xf>
    <xf numFmtId="0" fontId="20" fillId="0" borderId="1" xfId="0" applyFont="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7" borderId="2" xfId="0" applyFill="1" applyBorder="1" applyAlignment="1" applyProtection="1">
      <alignment horizontal="right" vertical="center"/>
      <protection locked="0"/>
    </xf>
    <xf numFmtId="0" fontId="0" fillId="7" borderId="3" xfId="0" applyFill="1" applyBorder="1" applyAlignment="1" applyProtection="1">
      <alignment horizontal="right" vertical="center"/>
      <protection locked="0"/>
    </xf>
    <xf numFmtId="0" fontId="24" fillId="7" borderId="1" xfId="0" applyFont="1" applyFill="1" applyBorder="1" applyAlignment="1" applyProtection="1">
      <alignment horizontal="left" vertical="center" wrapText="1"/>
      <protection locked="0"/>
    </xf>
    <xf numFmtId="0" fontId="19" fillId="7" borderId="2" xfId="0" applyFont="1" applyFill="1" applyBorder="1" applyAlignment="1" applyProtection="1">
      <alignment horizontal="left" vertical="center" wrapText="1"/>
      <protection locked="0"/>
    </xf>
    <xf numFmtId="0" fontId="19" fillId="7" borderId="2" xfId="0" applyFont="1" applyFill="1" applyBorder="1" applyAlignment="1" applyProtection="1">
      <alignment horizontal="left" vertical="center"/>
      <protection locked="0"/>
    </xf>
    <xf numFmtId="0" fontId="19" fillId="7" borderId="3" xfId="0" applyFont="1" applyFill="1" applyBorder="1" applyAlignment="1" applyProtection="1">
      <alignment horizontal="left" vertical="center"/>
      <protection locked="0"/>
    </xf>
    <xf numFmtId="0" fontId="24" fillId="0" borderId="1" xfId="0" applyFont="1" applyBorder="1" applyAlignment="1">
      <alignment horizontal="left"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xf>
    <xf numFmtId="0" fontId="25" fillId="0" borderId="3" xfId="0" applyFont="1" applyBorder="1" applyAlignment="1">
      <alignment horizontal="left" vertical="center"/>
    </xf>
    <xf numFmtId="42" fontId="23" fillId="6" borderId="17" xfId="0" applyNumberFormat="1" applyFont="1" applyFill="1" applyBorder="1" applyAlignment="1">
      <alignment horizontal="right" vertical="center"/>
    </xf>
    <xf numFmtId="42" fontId="19" fillId="6" borderId="17" xfId="0" applyNumberFormat="1" applyFont="1" applyFill="1" applyBorder="1" applyAlignment="1">
      <alignment horizontal="right" vertical="center"/>
    </xf>
    <xf numFmtId="0" fontId="23" fillId="0" borderId="17" xfId="0" applyFont="1" applyBorder="1" applyAlignment="1">
      <alignment horizontal="center" vertical="center"/>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19" fillId="0" borderId="1" xfId="0" applyFont="1" applyBorder="1" applyAlignment="1">
      <alignment horizontal="center" vertical="center"/>
    </xf>
    <xf numFmtId="0" fontId="19" fillId="0" borderId="3" xfId="0" applyFont="1" applyBorder="1" applyAlignment="1">
      <alignment horizontal="center" vertical="center"/>
    </xf>
    <xf numFmtId="42" fontId="23" fillId="7" borderId="17" xfId="0" applyNumberFormat="1" applyFont="1" applyFill="1" applyBorder="1" applyAlignment="1" applyProtection="1">
      <alignment horizontal="right" vertical="center"/>
      <protection locked="0"/>
    </xf>
    <xf numFmtId="0" fontId="23" fillId="0" borderId="17" xfId="0" applyFont="1" applyBorder="1" applyAlignment="1">
      <alignment horizontal="left" vertical="center"/>
    </xf>
    <xf numFmtId="0" fontId="19" fillId="0" borderId="17" xfId="0" applyFont="1" applyBorder="1" applyAlignment="1">
      <alignment horizontal="left" vertical="center"/>
    </xf>
    <xf numFmtId="0" fontId="38" fillId="0" borderId="17" xfId="0" applyFont="1" applyBorder="1" applyAlignment="1">
      <alignment horizontal="left" vertical="center" wrapText="1"/>
    </xf>
    <xf numFmtId="0" fontId="40" fillId="0" borderId="17" xfId="0" applyFont="1" applyBorder="1" applyAlignment="1">
      <alignment horizontal="left" vertical="center" wrapText="1"/>
    </xf>
    <xf numFmtId="0" fontId="19" fillId="0" borderId="0" xfId="0" applyFont="1" applyAlignment="1">
      <alignment horizontal="center" vertical="center" wrapText="1"/>
    </xf>
    <xf numFmtId="0" fontId="19" fillId="0" borderId="8" xfId="0" applyFont="1" applyBorder="1" applyAlignment="1">
      <alignment horizontal="center" vertical="center" wrapText="1"/>
    </xf>
    <xf numFmtId="0" fontId="19" fillId="0" borderId="1" xfId="0" applyFont="1" applyBorder="1" applyAlignment="1">
      <alignment horizontal="left" vertical="center"/>
    </xf>
    <xf numFmtId="0" fontId="19" fillId="4" borderId="1" xfId="0" applyFont="1" applyFill="1" applyBorder="1" applyAlignment="1" applyProtection="1">
      <alignment horizontal="left" vertical="center"/>
      <protection locked="0"/>
    </xf>
    <xf numFmtId="0" fontId="19" fillId="4" borderId="2" xfId="0" applyFont="1" applyFill="1" applyBorder="1" applyAlignment="1" applyProtection="1">
      <alignment horizontal="left" vertical="center"/>
      <protection locked="0"/>
    </xf>
    <xf numFmtId="0" fontId="19" fillId="4" borderId="3" xfId="0" applyFont="1" applyFill="1" applyBorder="1" applyAlignment="1" applyProtection="1">
      <alignment horizontal="left" vertical="center"/>
      <protection locked="0"/>
    </xf>
    <xf numFmtId="0" fontId="24" fillId="7" borderId="2" xfId="0" applyFont="1" applyFill="1" applyBorder="1" applyAlignment="1" applyProtection="1">
      <alignment horizontal="left" vertical="center" wrapText="1"/>
      <protection locked="0"/>
    </xf>
    <xf numFmtId="0" fontId="24" fillId="7" borderId="2" xfId="0" applyFont="1" applyFill="1" applyBorder="1" applyAlignment="1" applyProtection="1">
      <alignment horizontal="left" vertical="center"/>
      <protection locked="0"/>
    </xf>
    <xf numFmtId="0" fontId="24" fillId="7" borderId="3" xfId="0" applyFont="1" applyFill="1" applyBorder="1" applyAlignment="1" applyProtection="1">
      <alignment horizontal="left" vertical="center"/>
      <protection locked="0"/>
    </xf>
    <xf numFmtId="0" fontId="19" fillId="0" borderId="3" xfId="0" applyFont="1" applyBorder="1" applyAlignment="1">
      <alignment horizontal="left" vertical="center" wrapText="1"/>
    </xf>
    <xf numFmtId="0" fontId="19" fillId="6" borderId="0" xfId="0" applyFont="1" applyFill="1" applyAlignment="1">
      <alignment horizontal="left" vertical="center"/>
    </xf>
    <xf numFmtId="0" fontId="0" fillId="6" borderId="0" xfId="0" applyFill="1" applyAlignment="1">
      <alignment horizontal="left" vertical="center"/>
    </xf>
    <xf numFmtId="0" fontId="74" fillId="7" borderId="2" xfId="0" applyFont="1" applyFill="1" applyBorder="1" applyAlignment="1" applyProtection="1">
      <alignment horizontal="left" vertical="center" wrapText="1"/>
      <protection locked="0"/>
    </xf>
    <xf numFmtId="0" fontId="74" fillId="7" borderId="3" xfId="0" applyFont="1" applyFill="1" applyBorder="1" applyAlignment="1" applyProtection="1">
      <alignment horizontal="left" vertical="center" wrapText="1"/>
      <protection locked="0"/>
    </xf>
    <xf numFmtId="0" fontId="23" fillId="0" borderId="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49" fillId="0" borderId="0" xfId="0" applyFont="1" applyAlignment="1">
      <alignment horizontal="center" vertical="center" wrapText="1"/>
    </xf>
    <xf numFmtId="0" fontId="50" fillId="0" borderId="0" xfId="0" applyFont="1" applyAlignment="1">
      <alignment horizontal="center" vertical="center" wrapText="1"/>
    </xf>
    <xf numFmtId="0" fontId="23" fillId="7" borderId="1" xfId="0" applyFont="1" applyFill="1" applyBorder="1" applyAlignment="1" applyProtection="1">
      <alignment horizontal="left" vertical="center" wrapText="1"/>
      <protection locked="0"/>
    </xf>
    <xf numFmtId="0" fontId="19" fillId="7" borderId="3" xfId="0" applyFont="1" applyFill="1" applyBorder="1" applyAlignment="1" applyProtection="1">
      <alignment horizontal="left" vertical="center" wrapText="1"/>
      <protection locked="0"/>
    </xf>
    <xf numFmtId="42" fontId="19" fillId="0" borderId="17" xfId="0" applyNumberFormat="1" applyFont="1" applyBorder="1" applyAlignment="1">
      <alignment horizontal="left" vertical="center"/>
    </xf>
    <xf numFmtId="0" fontId="0" fillId="0" borderId="17" xfId="0" applyBorder="1" applyAlignment="1">
      <alignment horizontal="left" vertical="center"/>
    </xf>
    <xf numFmtId="49" fontId="23" fillId="0" borderId="1" xfId="0" applyNumberFormat="1" applyFont="1" applyBorder="1" applyAlignment="1">
      <alignment horizontal="center" vertical="center"/>
    </xf>
    <xf numFmtId="0" fontId="19" fillId="0" borderId="2" xfId="0" applyFont="1" applyBorder="1" applyAlignment="1">
      <alignment horizontal="center" vertical="center"/>
    </xf>
    <xf numFmtId="42" fontId="8" fillId="7" borderId="17" xfId="0" applyNumberFormat="1" applyFont="1" applyFill="1" applyBorder="1" applyAlignment="1" applyProtection="1">
      <alignment horizontal="right" vertical="center"/>
      <protection locked="0"/>
    </xf>
    <xf numFmtId="0" fontId="71" fillId="0" borderId="0" xfId="0" applyFont="1" applyAlignment="1">
      <alignment horizontal="left" vertical="center"/>
    </xf>
    <xf numFmtId="0" fontId="72" fillId="0" borderId="0" xfId="0" applyFont="1"/>
    <xf numFmtId="0" fontId="23" fillId="0" borderId="1" xfId="0" applyFon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right" vertical="center"/>
    </xf>
    <xf numFmtId="0" fontId="0" fillId="0" borderId="3" xfId="0" applyBorder="1" applyAlignment="1">
      <alignment horizontal="right" vertical="center"/>
    </xf>
    <xf numFmtId="0" fontId="19" fillId="0" borderId="17" xfId="0" applyFont="1" applyBorder="1" applyAlignment="1">
      <alignment horizontal="left" vertical="center" wrapText="1"/>
    </xf>
    <xf numFmtId="0" fontId="23" fillId="0" borderId="4" xfId="0" applyFont="1" applyBorder="1" applyAlignment="1">
      <alignment horizontal="left" vertical="center"/>
    </xf>
    <xf numFmtId="0" fontId="19" fillId="0" borderId="5" xfId="0" applyFont="1" applyBorder="1" applyAlignment="1">
      <alignment horizontal="left" vertical="center"/>
    </xf>
    <xf numFmtId="49" fontId="20" fillId="0" borderId="1" xfId="0" applyNumberFormat="1" applyFont="1" applyBorder="1" applyAlignment="1">
      <alignment horizontal="left" vertical="center"/>
    </xf>
    <xf numFmtId="0" fontId="20" fillId="0" borderId="2" xfId="0" applyFont="1" applyBorder="1" applyAlignment="1">
      <alignment horizontal="left" vertical="center"/>
    </xf>
    <xf numFmtId="1" fontId="20" fillId="0" borderId="2" xfId="0" applyNumberFormat="1" applyFont="1" applyBorder="1" applyAlignment="1">
      <alignment horizontal="left" vertical="center"/>
    </xf>
    <xf numFmtId="1" fontId="20" fillId="0" borderId="3" xfId="0" applyNumberFormat="1" applyFont="1" applyBorder="1" applyAlignment="1">
      <alignment horizontal="left" vertical="center"/>
    </xf>
    <xf numFmtId="42" fontId="8" fillId="6" borderId="17" xfId="0" applyNumberFormat="1" applyFont="1" applyFill="1" applyBorder="1" applyAlignment="1">
      <alignment horizontal="right" vertical="center"/>
    </xf>
    <xf numFmtId="42" fontId="41" fillId="6" borderId="1" xfId="0" applyNumberFormat="1" applyFont="1" applyFill="1" applyBorder="1" applyAlignment="1">
      <alignment horizontal="right" vertical="center"/>
    </xf>
    <xf numFmtId="0" fontId="74" fillId="0" borderId="2" xfId="0" applyFont="1" applyBorder="1" applyAlignment="1">
      <alignment horizontal="right" vertical="center"/>
    </xf>
    <xf numFmtId="0" fontId="74" fillId="0" borderId="3" xfId="0" applyFont="1" applyBorder="1" applyAlignment="1">
      <alignment horizontal="right" vertical="center"/>
    </xf>
    <xf numFmtId="0" fontId="23" fillId="6" borderId="1" xfId="0" applyFont="1" applyFill="1" applyBorder="1" applyAlignment="1">
      <alignment horizontal="left" vertical="center"/>
    </xf>
    <xf numFmtId="0" fontId="19" fillId="6" borderId="2" xfId="0" applyFont="1" applyFill="1" applyBorder="1" applyAlignment="1">
      <alignment horizontal="left" vertical="center"/>
    </xf>
    <xf numFmtId="0" fontId="19" fillId="6" borderId="3" xfId="0" applyFont="1" applyFill="1" applyBorder="1" applyAlignment="1">
      <alignment horizontal="left" vertical="center"/>
    </xf>
    <xf numFmtId="0" fontId="23" fillId="0" borderId="11" xfId="0" applyFont="1" applyBorder="1" applyAlignment="1">
      <alignment horizontal="left"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6" borderId="2" xfId="0" applyFont="1" applyFill="1" applyBorder="1" applyAlignment="1">
      <alignment horizontal="left" vertical="center"/>
    </xf>
    <xf numFmtId="0" fontId="23" fillId="6" borderId="3" xfId="0" applyFont="1" applyFill="1" applyBorder="1" applyAlignment="1">
      <alignment horizontal="left" vertical="center"/>
    </xf>
    <xf numFmtId="49" fontId="23" fillId="0" borderId="17" xfId="0" applyNumberFormat="1" applyFont="1" applyBorder="1" applyAlignment="1">
      <alignment horizontal="center" vertical="center"/>
    </xf>
    <xf numFmtId="0" fontId="41" fillId="0" borderId="1" xfId="0" applyFont="1" applyBorder="1" applyAlignment="1">
      <alignment horizontal="center" vertical="center"/>
    </xf>
    <xf numFmtId="0" fontId="74" fillId="0" borderId="2" xfId="0" applyFont="1" applyBorder="1" applyAlignment="1">
      <alignment horizontal="center" vertical="center"/>
    </xf>
    <xf numFmtId="0" fontId="74" fillId="0" borderId="3"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0" fillId="0" borderId="3" xfId="0" applyBorder="1" applyAlignment="1">
      <alignment horizontal="center" vertical="center"/>
    </xf>
    <xf numFmtId="49" fontId="23" fillId="0" borderId="4" xfId="0" applyNumberFormat="1" applyFont="1" applyBorder="1" applyAlignment="1">
      <alignment horizontal="left" vertical="center"/>
    </xf>
    <xf numFmtId="49" fontId="23" fillId="0" borderId="5" xfId="0" applyNumberFormat="1" applyFont="1" applyBorder="1" applyAlignment="1">
      <alignment horizontal="left" vertical="center"/>
    </xf>
    <xf numFmtId="49" fontId="19" fillId="0" borderId="5" xfId="0" applyNumberFormat="1" applyFont="1" applyBorder="1" applyAlignment="1">
      <alignment horizontal="left" vertical="center"/>
    </xf>
    <xf numFmtId="42" fontId="83" fillId="6" borderId="1" xfId="0" applyNumberFormat="1" applyFont="1" applyFill="1" applyBorder="1" applyAlignment="1">
      <alignment horizontal="right" vertical="center"/>
    </xf>
    <xf numFmtId="42" fontId="84" fillId="0" borderId="2" xfId="0" applyNumberFormat="1" applyFont="1" applyBorder="1" applyAlignment="1">
      <alignment horizontal="right" vertical="center"/>
    </xf>
    <xf numFmtId="42" fontId="84" fillId="0" borderId="3" xfId="0" applyNumberFormat="1" applyFont="1" applyBorder="1" applyAlignment="1">
      <alignment horizontal="right" vertical="center"/>
    </xf>
    <xf numFmtId="49" fontId="23" fillId="0" borderId="4" xfId="0" applyNumberFormat="1" applyFont="1" applyBorder="1" applyAlignment="1">
      <alignment horizontal="left" vertical="center" wrapText="1"/>
    </xf>
    <xf numFmtId="0" fontId="0" fillId="0" borderId="5" xfId="0" applyBorder="1" applyAlignment="1">
      <alignment horizontal="left" vertical="center"/>
    </xf>
    <xf numFmtId="0" fontId="0" fillId="0" borderId="6" xfId="0" applyBorder="1" applyAlignment="1">
      <alignment horizontal="left" vertical="center"/>
    </xf>
    <xf numFmtId="42" fontId="23" fillId="7" borderId="1" xfId="0" applyNumberFormat="1" applyFont="1" applyFill="1" applyBorder="1" applyAlignment="1" applyProtection="1">
      <alignment horizontal="right" vertical="center"/>
      <protection locked="0"/>
    </xf>
    <xf numFmtId="42" fontId="23" fillId="7" borderId="2" xfId="0" applyNumberFormat="1" applyFont="1" applyFill="1" applyBorder="1" applyAlignment="1" applyProtection="1">
      <alignment horizontal="right" vertical="center"/>
      <protection locked="0"/>
    </xf>
    <xf numFmtId="42" fontId="23" fillId="7" borderId="3" xfId="0" applyNumberFormat="1" applyFont="1" applyFill="1" applyBorder="1" applyAlignment="1" applyProtection="1">
      <alignment horizontal="right" vertical="center"/>
      <protection locked="0"/>
    </xf>
    <xf numFmtId="0" fontId="20" fillId="0" borderId="17" xfId="0" applyFont="1" applyBorder="1" applyAlignment="1">
      <alignment horizontal="left" vertical="center" wrapText="1"/>
    </xf>
    <xf numFmtId="42" fontId="24" fillId="0" borderId="17" xfId="0" applyNumberFormat="1" applyFont="1" applyBorder="1" applyAlignment="1">
      <alignment horizontal="left" vertical="center"/>
    </xf>
    <xf numFmtId="0" fontId="79" fillId="0" borderId="17" xfId="0" applyFont="1" applyBorder="1" applyAlignment="1">
      <alignment horizontal="left" vertical="center"/>
    </xf>
    <xf numFmtId="0" fontId="19" fillId="0" borderId="11" xfId="0" applyFont="1" applyBorder="1" applyAlignment="1">
      <alignment horizontal="left" vertical="center"/>
    </xf>
    <xf numFmtId="0" fontId="0" fillId="0" borderId="10" xfId="0" applyBorder="1" applyAlignment="1">
      <alignment vertical="center"/>
    </xf>
    <xf numFmtId="0" fontId="23" fillId="7" borderId="17" xfId="0" applyFont="1" applyFill="1" applyBorder="1" applyAlignment="1" applyProtection="1">
      <alignment horizontal="right" vertical="center"/>
      <protection locked="0"/>
    </xf>
    <xf numFmtId="0" fontId="19" fillId="7" borderId="17" xfId="0" applyFont="1" applyFill="1" applyBorder="1" applyAlignment="1" applyProtection="1">
      <alignment horizontal="right" vertical="center"/>
      <protection locked="0"/>
    </xf>
    <xf numFmtId="0" fontId="41" fillId="7" borderId="17" xfId="0" applyFont="1" applyFill="1" applyBorder="1" applyProtection="1">
      <protection locked="0"/>
    </xf>
    <xf numFmtId="0" fontId="20" fillId="7" borderId="17" xfId="0" applyFont="1" applyFill="1" applyBorder="1" applyProtection="1">
      <protection locked="0"/>
    </xf>
    <xf numFmtId="0" fontId="19" fillId="0" borderId="0" xfId="0" applyFont="1" applyAlignment="1">
      <alignment horizontal="left" vertical="center" wrapText="1"/>
    </xf>
    <xf numFmtId="0" fontId="19" fillId="0" borderId="10" xfId="0" applyFont="1" applyBorder="1" applyAlignment="1">
      <alignment horizontal="left" vertical="center" wrapText="1"/>
    </xf>
    <xf numFmtId="0" fontId="41" fillId="7" borderId="1" xfId="0" applyFont="1" applyFill="1" applyBorder="1" applyProtection="1">
      <protection locked="0"/>
    </xf>
    <xf numFmtId="0" fontId="41" fillId="7" borderId="2" xfId="0" applyFont="1" applyFill="1" applyBorder="1" applyProtection="1">
      <protection locked="0"/>
    </xf>
    <xf numFmtId="0" fontId="20" fillId="7" borderId="3" xfId="0" applyFont="1" applyFill="1" applyBorder="1" applyProtection="1">
      <protection locked="0"/>
    </xf>
    <xf numFmtId="0" fontId="23" fillId="0" borderId="17" xfId="0" quotePrefix="1" applyFont="1" applyBorder="1" applyAlignment="1">
      <alignment horizontal="left" vertical="center"/>
    </xf>
    <xf numFmtId="0" fontId="19" fillId="0" borderId="6" xfId="0" applyFont="1" applyBorder="1" applyAlignment="1">
      <alignment horizontal="left" vertical="center"/>
    </xf>
    <xf numFmtId="0" fontId="42" fillId="7" borderId="1" xfId="0" applyFont="1" applyFill="1" applyBorder="1" applyAlignment="1" applyProtection="1">
      <alignment horizontal="left" vertical="center" wrapText="1"/>
      <protection locked="0"/>
    </xf>
    <xf numFmtId="0" fontId="42" fillId="7" borderId="2" xfId="0" applyFont="1" applyFill="1" applyBorder="1" applyAlignment="1" applyProtection="1">
      <alignment horizontal="left" vertical="center" wrapText="1"/>
      <protection locked="0"/>
    </xf>
    <xf numFmtId="0" fontId="42" fillId="7" borderId="2" xfId="0" applyFont="1" applyFill="1" applyBorder="1" applyAlignment="1" applyProtection="1">
      <alignment horizontal="left" vertical="center"/>
      <protection locked="0"/>
    </xf>
    <xf numFmtId="0" fontId="42" fillId="7" borderId="3" xfId="0" applyFont="1" applyFill="1" applyBorder="1" applyAlignment="1" applyProtection="1">
      <alignment horizontal="left" vertical="center"/>
      <protection locked="0"/>
    </xf>
    <xf numFmtId="0" fontId="23" fillId="0" borderId="1" xfId="0" applyFont="1" applyBorder="1" applyAlignment="1">
      <alignment horizontal="left" vertical="center" wrapText="1"/>
    </xf>
    <xf numFmtId="0" fontId="19" fillId="0" borderId="17" xfId="0" applyFont="1" applyBorder="1" applyAlignment="1">
      <alignment vertical="center"/>
    </xf>
    <xf numFmtId="0" fontId="19" fillId="0" borderId="1" xfId="0" applyFont="1" applyBorder="1" applyAlignment="1">
      <alignment vertical="center"/>
    </xf>
    <xf numFmtId="0" fontId="19" fillId="0" borderId="2" xfId="0" applyFont="1" applyBorder="1" applyAlignment="1">
      <alignment vertical="center"/>
    </xf>
    <xf numFmtId="0" fontId="19" fillId="4" borderId="1" xfId="0" quotePrefix="1" applyFont="1" applyFill="1" applyBorder="1" applyAlignment="1" applyProtection="1">
      <alignment horizontal="left" vertical="center"/>
      <protection locked="0"/>
    </xf>
    <xf numFmtId="0" fontId="23" fillId="0" borderId="2" xfId="0" applyFont="1" applyBorder="1" applyAlignment="1">
      <alignment horizontal="center" vertical="center"/>
    </xf>
    <xf numFmtId="0" fontId="33" fillId="0" borderId="4" xfId="0" applyFont="1" applyBorder="1" applyAlignment="1">
      <alignment horizontal="center" vertical="center" readingOrder="1"/>
    </xf>
    <xf numFmtId="0" fontId="33" fillId="0" borderId="5" xfId="0" applyFont="1" applyBorder="1" applyAlignment="1">
      <alignment horizontal="center" vertical="center" readingOrder="1"/>
    </xf>
    <xf numFmtId="0" fontId="39" fillId="0" borderId="5" xfId="0" applyFont="1" applyBorder="1" applyAlignment="1">
      <alignment horizontal="center" vertical="center"/>
    </xf>
    <xf numFmtId="0" fontId="39" fillId="0" borderId="6" xfId="0" applyFont="1" applyBorder="1" applyAlignment="1">
      <alignment horizontal="center" vertical="center"/>
    </xf>
    <xf numFmtId="49" fontId="21" fillId="0" borderId="11" xfId="0" applyNumberFormat="1" applyFont="1" applyBorder="1" applyAlignment="1">
      <alignment horizontal="center" vertical="center" readingOrder="1"/>
    </xf>
    <xf numFmtId="0" fontId="21" fillId="0" borderId="0" xfId="0" applyFont="1" applyAlignment="1">
      <alignment horizontal="center" vertical="center" readingOrder="1"/>
    </xf>
    <xf numFmtId="0" fontId="19" fillId="0" borderId="0" xfId="0" applyFont="1" applyAlignment="1">
      <alignment horizontal="center" vertical="center"/>
    </xf>
    <xf numFmtId="0" fontId="19" fillId="0" borderId="10" xfId="0" applyFont="1" applyBorder="1" applyAlignment="1">
      <alignment horizontal="center" vertical="center"/>
    </xf>
    <xf numFmtId="49" fontId="22" fillId="0" borderId="11" xfId="0" applyNumberFormat="1" applyFont="1" applyBorder="1" applyAlignment="1">
      <alignment horizontal="center" vertical="center" readingOrder="1"/>
    </xf>
    <xf numFmtId="49" fontId="21" fillId="0" borderId="0" xfId="0" applyNumberFormat="1" applyFont="1" applyAlignment="1">
      <alignment horizontal="center" vertical="center"/>
    </xf>
    <xf numFmtId="0" fontId="19" fillId="0" borderId="0" xfId="0" applyFont="1" applyAlignment="1">
      <alignment horizontal="left" vertical="center"/>
    </xf>
    <xf numFmtId="0" fontId="23" fillId="6" borderId="0" xfId="0" applyFont="1" applyFill="1" applyAlignment="1">
      <alignment horizontal="left" vertical="center"/>
    </xf>
    <xf numFmtId="0" fontId="29" fillId="0" borderId="0" xfId="0" applyFont="1" applyAlignment="1">
      <alignment horizontal="left" vertical="center"/>
    </xf>
    <xf numFmtId="0" fontId="58" fillId="0" borderId="0" xfId="0" applyFont="1" applyAlignment="1">
      <alignment horizontal="left" vertical="center"/>
    </xf>
    <xf numFmtId="0" fontId="73" fillId="0" borderId="0" xfId="0" applyFont="1" applyAlignment="1">
      <alignment horizontal="left" vertical="center"/>
    </xf>
    <xf numFmtId="0" fontId="44" fillId="0" borderId="0" xfId="0" applyFont="1" applyAlignment="1">
      <alignment horizontal="center" vertical="center"/>
    </xf>
    <xf numFmtId="0" fontId="0" fillId="0" borderId="0" xfId="0" applyAlignment="1">
      <alignment horizontal="center" vertical="center"/>
    </xf>
    <xf numFmtId="0" fontId="46" fillId="6" borderId="0" xfId="0" applyFont="1" applyFill="1" applyAlignment="1">
      <alignment horizontal="left" vertical="center" wrapText="1"/>
    </xf>
    <xf numFmtId="0" fontId="46" fillId="8" borderId="0" xfId="0" applyFont="1" applyFill="1" applyAlignment="1">
      <alignment horizontal="left" vertical="center"/>
    </xf>
    <xf numFmtId="0" fontId="46" fillId="0" borderId="0" xfId="0" applyFont="1" applyAlignment="1">
      <alignment horizontal="left" vertical="center"/>
    </xf>
    <xf numFmtId="0" fontId="46" fillId="10" borderId="0" xfId="0" applyFont="1" applyFill="1" applyAlignment="1">
      <alignment horizontal="left" vertical="center"/>
    </xf>
    <xf numFmtId="0" fontId="46" fillId="0" borderId="0" xfId="0" applyFont="1" applyAlignment="1">
      <alignment horizontal="center" vertical="center" wrapText="1"/>
    </xf>
    <xf numFmtId="0" fontId="61" fillId="0" borderId="0" xfId="0" applyFont="1" applyAlignment="1">
      <alignment horizontal="center" vertical="center" wrapText="1"/>
    </xf>
    <xf numFmtId="0" fontId="53" fillId="0" borderId="0" xfId="0" applyFont="1" applyAlignment="1">
      <alignment horizontal="center" vertical="center" wrapText="1"/>
    </xf>
    <xf numFmtId="0" fontId="59" fillId="0" borderId="0" xfId="0" applyFont="1" applyAlignment="1">
      <alignment horizontal="center" vertical="center" wrapText="1"/>
    </xf>
    <xf numFmtId="0" fontId="30" fillId="0" borderId="0" xfId="0" applyFont="1" applyAlignment="1">
      <alignment horizontal="left" vertical="center" wrapText="1"/>
    </xf>
    <xf numFmtId="0" fontId="11" fillId="0" borderId="0" xfId="0" applyFont="1" applyAlignment="1">
      <alignment horizontal="left" vertical="center" wrapText="1"/>
    </xf>
    <xf numFmtId="0" fontId="30" fillId="0" borderId="0" xfId="0" applyFont="1" applyAlignment="1">
      <alignment horizontal="left" vertical="center"/>
    </xf>
    <xf numFmtId="0" fontId="11" fillId="0" borderId="0" xfId="0" applyFont="1" applyAlignment="1">
      <alignment horizontal="left" vertical="center"/>
    </xf>
    <xf numFmtId="0" fontId="75" fillId="0" borderId="0" xfId="0" applyFont="1" applyAlignment="1">
      <alignment horizontal="left" vertical="center" wrapText="1"/>
    </xf>
    <xf numFmtId="0" fontId="37" fillId="0" borderId="0" xfId="0" applyFont="1" applyAlignment="1">
      <alignment horizontal="left" vertical="center" wrapText="1"/>
    </xf>
    <xf numFmtId="0" fontId="78" fillId="0" borderId="0" xfId="0" applyFont="1" applyAlignment="1">
      <alignment horizontal="left" vertical="center"/>
    </xf>
    <xf numFmtId="0" fontId="81" fillId="0" borderId="0" xfId="0" applyFont="1" applyAlignment="1">
      <alignment horizontal="left" vertical="center"/>
    </xf>
    <xf numFmtId="0" fontId="76" fillId="0" borderId="0" xfId="0" applyFont="1" applyAlignment="1">
      <alignment horizontal="left" vertical="center" wrapText="1"/>
    </xf>
    <xf numFmtId="0" fontId="30" fillId="0" borderId="0" xfId="0" applyFont="1" applyAlignment="1">
      <alignment horizontal="left" wrapText="1"/>
    </xf>
    <xf numFmtId="0" fontId="11" fillId="0" borderId="0" xfId="0" applyFont="1" applyAlignment="1">
      <alignment horizontal="left" wrapText="1"/>
    </xf>
    <xf numFmtId="0" fontId="23" fillId="0" borderId="3" xfId="0" applyFont="1" applyBorder="1" applyAlignment="1">
      <alignment horizontal="center" vertical="center"/>
    </xf>
    <xf numFmtId="0" fontId="19" fillId="0" borderId="10" xfId="0" applyFont="1" applyBorder="1" applyAlignment="1">
      <alignment horizontal="left" vertical="center"/>
    </xf>
    <xf numFmtId="164" fontId="5" fillId="0" borderId="1" xfId="0" applyNumberFormat="1" applyFont="1" applyBorder="1" applyAlignment="1">
      <alignment horizontal="right" vertical="center"/>
    </xf>
    <xf numFmtId="164" fontId="5" fillId="0" borderId="2" xfId="0" applyNumberFormat="1" applyFont="1" applyBorder="1" applyAlignment="1">
      <alignment horizontal="right" vertical="center"/>
    </xf>
    <xf numFmtId="164" fontId="5" fillId="0" borderId="3" xfId="0" applyNumberFormat="1" applyFont="1" applyBorder="1" applyAlignment="1">
      <alignment horizontal="right" vertical="center"/>
    </xf>
    <xf numFmtId="42" fontId="17" fillId="3" borderId="1" xfId="0" applyNumberFormat="1" applyFont="1" applyFill="1" applyBorder="1" applyAlignment="1">
      <alignment horizontal="right" vertical="center"/>
    </xf>
    <xf numFmtId="42" fontId="17" fillId="3" borderId="2" xfId="0" applyNumberFormat="1" applyFont="1" applyFill="1" applyBorder="1" applyAlignment="1">
      <alignment horizontal="right" vertical="center"/>
    </xf>
    <xf numFmtId="42" fontId="17" fillId="3" borderId="3" xfId="0" applyNumberFormat="1" applyFont="1" applyFill="1" applyBorder="1" applyAlignment="1">
      <alignment horizontal="right" vertical="center"/>
    </xf>
    <xf numFmtId="42" fontId="0" fillId="0" borderId="3" xfId="0" applyNumberFormat="1" applyBorder="1" applyAlignment="1">
      <alignment horizontal="right" vertical="center"/>
    </xf>
    <xf numFmtId="42" fontId="5" fillId="3" borderId="1" xfId="0" applyNumberFormat="1" applyFont="1" applyFill="1" applyBorder="1" applyAlignment="1">
      <alignment horizontal="right" vertical="center"/>
    </xf>
    <xf numFmtId="42" fontId="5" fillId="3" borderId="2" xfId="0" applyNumberFormat="1" applyFont="1" applyFill="1" applyBorder="1" applyAlignment="1">
      <alignment horizontal="right" vertical="center"/>
    </xf>
    <xf numFmtId="42" fontId="5" fillId="3" borderId="3" xfId="0" applyNumberFormat="1" applyFont="1" applyFill="1" applyBorder="1" applyAlignment="1">
      <alignment horizontal="right" vertical="center"/>
    </xf>
    <xf numFmtId="164" fontId="17" fillId="2" borderId="1" xfId="0" applyNumberFormat="1" applyFont="1"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42" fontId="17" fillId="2" borderId="1" xfId="0" applyNumberFormat="1" applyFont="1" applyFill="1" applyBorder="1" applyAlignment="1" applyProtection="1">
      <alignment horizontal="right" vertical="center"/>
      <protection locked="0"/>
    </xf>
    <xf numFmtId="42" fontId="17" fillId="2" borderId="2" xfId="0" applyNumberFormat="1" applyFont="1" applyFill="1" applyBorder="1" applyAlignment="1" applyProtection="1">
      <alignment horizontal="right" vertical="center"/>
      <protection locked="0"/>
    </xf>
    <xf numFmtId="42" fontId="17" fillId="2" borderId="3" xfId="0" applyNumberFormat="1" applyFont="1" applyFill="1" applyBorder="1" applyAlignment="1" applyProtection="1">
      <alignment horizontal="right" vertical="center"/>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0" fillId="0" borderId="1" xfId="0"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0" fillId="0" borderId="14" xfId="0" applyBorder="1" applyAlignment="1">
      <alignment horizontal="center"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11" xfId="0" applyBorder="1" applyAlignment="1">
      <alignment horizontal="left" vertical="center" wrapText="1"/>
    </xf>
    <xf numFmtId="0" fontId="0" fillId="0" borderId="10"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42" fontId="3" fillId="3" borderId="4" xfId="0" applyNumberFormat="1" applyFont="1" applyFill="1" applyBorder="1" applyAlignment="1">
      <alignment horizontal="right" vertical="center"/>
    </xf>
    <xf numFmtId="42" fontId="3" fillId="3" borderId="5" xfId="0" applyNumberFormat="1" applyFont="1" applyFill="1" applyBorder="1" applyAlignment="1">
      <alignment horizontal="right" vertical="center"/>
    </xf>
    <xf numFmtId="42" fontId="3" fillId="3" borderId="6" xfId="0" applyNumberFormat="1" applyFont="1" applyFill="1" applyBorder="1" applyAlignment="1">
      <alignment horizontal="right" vertical="center"/>
    </xf>
    <xf numFmtId="42" fontId="8" fillId="3" borderId="11" xfId="0" applyNumberFormat="1" applyFont="1" applyFill="1" applyBorder="1" applyAlignment="1">
      <alignment horizontal="right" vertical="center"/>
    </xf>
    <xf numFmtId="42" fontId="8" fillId="3" borderId="0" xfId="0" applyNumberFormat="1" applyFont="1" applyFill="1" applyAlignment="1">
      <alignment horizontal="right" vertical="center"/>
    </xf>
    <xf numFmtId="42" fontId="8" fillId="3" borderId="10" xfId="0" applyNumberFormat="1" applyFont="1" applyFill="1" applyBorder="1" applyAlignment="1">
      <alignment horizontal="right" vertical="center"/>
    </xf>
    <xf numFmtId="42" fontId="8" fillId="3" borderId="7" xfId="0" applyNumberFormat="1" applyFont="1" applyFill="1" applyBorder="1" applyAlignment="1">
      <alignment horizontal="right" vertical="center"/>
    </xf>
    <xf numFmtId="42" fontId="8" fillId="3" borderId="8" xfId="0" applyNumberFormat="1" applyFont="1" applyFill="1" applyBorder="1" applyAlignment="1">
      <alignment horizontal="right" vertical="center"/>
    </xf>
    <xf numFmtId="42" fontId="8" fillId="3" borderId="9" xfId="0" applyNumberFormat="1" applyFont="1" applyFill="1" applyBorder="1" applyAlignment="1">
      <alignment horizontal="right" vertical="center"/>
    </xf>
    <xf numFmtId="0" fontId="3" fillId="0" borderId="0" xfId="0" applyFont="1" applyAlignment="1">
      <alignment horizontal="center" vertical="center"/>
    </xf>
    <xf numFmtId="0" fontId="2" fillId="0" borderId="0" xfId="0" applyFont="1" applyAlignment="1">
      <alignment horizontal="center" vertical="center"/>
    </xf>
    <xf numFmtId="0" fontId="2" fillId="0" borderId="4" xfId="0" applyFont="1" applyBorder="1" applyAlignment="1">
      <alignment horizontal="center" vertical="top" wrapText="1" readingOrder="1"/>
    </xf>
    <xf numFmtId="0" fontId="0" fillId="0" borderId="5" xfId="0" applyBorder="1" applyAlignment="1">
      <alignment horizontal="center" vertical="top" wrapText="1"/>
    </xf>
    <xf numFmtId="0" fontId="0" fillId="0" borderId="6" xfId="0" applyBorder="1" applyAlignment="1">
      <alignment horizontal="center" vertical="top" wrapText="1"/>
    </xf>
    <xf numFmtId="0" fontId="0" fillId="0" borderId="11" xfId="0" applyBorder="1" applyAlignment="1">
      <alignment horizontal="center" vertical="top" wrapText="1"/>
    </xf>
    <xf numFmtId="0" fontId="0" fillId="0" borderId="0" xfId="0" applyAlignment="1">
      <alignment horizontal="center" vertical="top" wrapText="1"/>
    </xf>
    <xf numFmtId="0" fontId="0" fillId="0" borderId="10" xfId="0" applyBorder="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0" fillId="0" borderId="9" xfId="0" applyBorder="1" applyAlignment="1">
      <alignment horizontal="center" vertical="top" wrapText="1"/>
    </xf>
    <xf numFmtId="0" fontId="0" fillId="0" borderId="5" xfId="0" applyBorder="1" applyAlignment="1">
      <alignment horizontal="center"/>
    </xf>
    <xf numFmtId="0" fontId="0" fillId="0" borderId="6" xfId="0" applyBorder="1" applyAlignment="1">
      <alignment horizontal="center"/>
    </xf>
    <xf numFmtId="0" fontId="0" fillId="0" borderId="11" xfId="0" applyBorder="1" applyAlignment="1">
      <alignment horizontal="center"/>
    </xf>
    <xf numFmtId="0" fontId="0" fillId="0" borderId="0" xfId="0" applyAlignment="1">
      <alignment horizontal="center"/>
    </xf>
    <xf numFmtId="0" fontId="0" fillId="0" borderId="10"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2" fillId="0" borderId="11"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2" fillId="0" borderId="7" xfId="0" applyFont="1" applyBorder="1" applyAlignment="1">
      <alignment horizontal="center" vertical="top"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49" fontId="2" fillId="0" borderId="4" xfId="0" applyNumberFormat="1" applyFont="1" applyBorder="1" applyAlignment="1">
      <alignment horizontal="center" vertical="top" wrapText="1" readingOrder="1"/>
    </xf>
    <xf numFmtId="49" fontId="2" fillId="0" borderId="4" xfId="0" applyNumberFormat="1" applyFont="1" applyBorder="1" applyAlignment="1">
      <alignment horizontal="center" vertical="top" wrapText="1"/>
    </xf>
    <xf numFmtId="0" fontId="2" fillId="0" borderId="14" xfId="0" applyFont="1" applyBorder="1" applyAlignment="1">
      <alignment horizontal="center"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16" fillId="0" borderId="0" xfId="0" applyFont="1" applyAlignment="1">
      <alignment horizontal="center" vertical="center"/>
    </xf>
    <xf numFmtId="0" fontId="0" fillId="0" borderId="0" xfId="0"/>
    <xf numFmtId="0" fontId="2" fillId="0" borderId="0" xfId="0" applyFont="1" applyAlignment="1">
      <alignment horizontal="left" vertical="center"/>
    </xf>
    <xf numFmtId="0" fontId="2" fillId="0" borderId="12" xfId="0" applyFont="1" applyBorder="1" applyAlignment="1">
      <alignment horizontal="center" vertical="center"/>
    </xf>
    <xf numFmtId="0" fontId="3" fillId="3" borderId="12" xfId="0" applyFont="1" applyFill="1" applyBorder="1" applyAlignment="1">
      <alignment horizontal="left" vertical="center"/>
    </xf>
    <xf numFmtId="0" fontId="15" fillId="0" borderId="16" xfId="0" applyFont="1" applyBorder="1" applyAlignment="1">
      <alignment horizontal="center" vertical="center"/>
    </xf>
    <xf numFmtId="0" fontId="2" fillId="0" borderId="4" xfId="0" applyFont="1" applyBorder="1" applyAlignment="1">
      <alignment horizontal="justify" vertical="justify" wrapText="1"/>
    </xf>
    <xf numFmtId="0" fontId="2" fillId="0" borderId="5" xfId="0" applyFont="1" applyBorder="1" applyAlignment="1">
      <alignment horizontal="justify" vertical="justify" wrapText="1"/>
    </xf>
    <xf numFmtId="0" fontId="0" fillId="0" borderId="5" xfId="0" applyBorder="1" applyAlignment="1">
      <alignment horizontal="justify" vertical="justify"/>
    </xf>
    <xf numFmtId="0" fontId="0" fillId="0" borderId="6" xfId="0" applyBorder="1" applyAlignment="1">
      <alignment horizontal="justify" vertical="justify"/>
    </xf>
    <xf numFmtId="0" fontId="2" fillId="0" borderId="7" xfId="0" applyFont="1" applyBorder="1" applyAlignment="1">
      <alignment horizontal="justify" vertical="justify" wrapText="1"/>
    </xf>
    <xf numFmtId="0" fontId="2" fillId="0" borderId="8" xfId="0" applyFont="1" applyBorder="1" applyAlignment="1">
      <alignment horizontal="justify" vertical="justify" wrapText="1"/>
    </xf>
    <xf numFmtId="0" fontId="0" fillId="0" borderId="8" xfId="0" applyBorder="1" applyAlignment="1">
      <alignment horizontal="justify" vertical="justify"/>
    </xf>
    <xf numFmtId="0" fontId="0" fillId="0" borderId="9" xfId="0" applyBorder="1" applyAlignment="1">
      <alignment horizontal="justify" vertical="justify"/>
    </xf>
    <xf numFmtId="164" fontId="3" fillId="0" borderId="5" xfId="0" applyNumberFormat="1"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15" fillId="0" borderId="0" xfId="0" applyFont="1" applyAlignment="1">
      <alignment horizontal="center" vertical="center"/>
    </xf>
    <xf numFmtId="0" fontId="3" fillId="3" borderId="0" xfId="0" applyFont="1" applyFill="1" applyAlignment="1">
      <alignment horizontal="left" vertical="center"/>
    </xf>
    <xf numFmtId="0" fontId="0" fillId="3" borderId="0" xfId="0" applyFill="1" applyAlignment="1">
      <alignment horizontal="left" vertical="center"/>
    </xf>
    <xf numFmtId="0" fontId="2" fillId="0" borderId="13" xfId="0" applyFont="1" applyBorder="1"/>
    <xf numFmtId="0" fontId="2" fillId="0" borderId="15" xfId="0" applyFont="1" applyBorder="1"/>
    <xf numFmtId="0" fontId="2" fillId="0" borderId="14" xfId="0" applyFont="1" applyBorder="1"/>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0" fillId="0" borderId="5" xfId="0" applyBorder="1" applyAlignment="1">
      <alignment horizontal="justify" vertical="justify" wrapText="1"/>
    </xf>
    <xf numFmtId="0" fontId="0" fillId="0" borderId="6" xfId="0" applyBorder="1" applyAlignment="1">
      <alignment horizontal="justify" vertical="justify" wrapText="1"/>
    </xf>
    <xf numFmtId="0" fontId="0" fillId="0" borderId="11" xfId="0" applyBorder="1" applyAlignment="1">
      <alignment horizontal="justify" vertical="justify" wrapText="1"/>
    </xf>
    <xf numFmtId="0" fontId="0" fillId="0" borderId="0" xfId="0" applyAlignment="1">
      <alignment horizontal="justify" vertical="justify" wrapText="1"/>
    </xf>
    <xf numFmtId="0" fontId="0" fillId="0" borderId="10" xfId="0" applyBorder="1" applyAlignment="1">
      <alignment horizontal="justify" vertical="justify" wrapText="1"/>
    </xf>
    <xf numFmtId="0" fontId="0" fillId="0" borderId="7" xfId="0" applyBorder="1" applyAlignment="1">
      <alignment horizontal="justify" vertical="justify" wrapText="1"/>
    </xf>
    <xf numFmtId="0" fontId="0" fillId="0" borderId="8" xfId="0" applyBorder="1" applyAlignment="1">
      <alignment horizontal="justify" vertical="justify" wrapText="1"/>
    </xf>
    <xf numFmtId="0" fontId="0" fillId="0" borderId="9" xfId="0" applyBorder="1" applyAlignment="1">
      <alignment horizontal="justify" vertical="justify"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42" fontId="3" fillId="2" borderId="5" xfId="0" applyNumberFormat="1" applyFont="1" applyFill="1" applyBorder="1" applyAlignment="1" applyProtection="1">
      <alignment horizontal="right" vertical="center"/>
      <protection locked="0"/>
    </xf>
    <xf numFmtId="42" fontId="8" fillId="2" borderId="5" xfId="0" applyNumberFormat="1" applyFont="1" applyFill="1" applyBorder="1" applyAlignment="1" applyProtection="1">
      <alignment horizontal="right" vertical="center"/>
      <protection locked="0"/>
    </xf>
    <xf numFmtId="42" fontId="8" fillId="2" borderId="6" xfId="0" applyNumberFormat="1" applyFont="1" applyFill="1" applyBorder="1" applyAlignment="1" applyProtection="1">
      <alignment horizontal="right" vertical="center"/>
      <protection locked="0"/>
    </xf>
    <xf numFmtId="42" fontId="8" fillId="2" borderId="8" xfId="0" applyNumberFormat="1" applyFont="1" applyFill="1" applyBorder="1" applyAlignment="1" applyProtection="1">
      <alignment horizontal="right" vertical="center"/>
      <protection locked="0"/>
    </xf>
    <xf numFmtId="42" fontId="8" fillId="2" borderId="9" xfId="0" applyNumberFormat="1" applyFont="1" applyFill="1" applyBorder="1" applyAlignment="1" applyProtection="1">
      <alignment horizontal="right" vertical="center"/>
      <protection locked="0"/>
    </xf>
    <xf numFmtId="164" fontId="8" fillId="0" borderId="5" xfId="0" applyNumberFormat="1" applyFont="1" applyBorder="1" applyAlignment="1">
      <alignment horizontal="center" vertical="center"/>
    </xf>
    <xf numFmtId="164" fontId="8" fillId="0" borderId="6" xfId="0" applyNumberFormat="1" applyFont="1" applyBorder="1" applyAlignment="1">
      <alignment horizontal="center" vertical="center"/>
    </xf>
    <xf numFmtId="164" fontId="8" fillId="0" borderId="0" xfId="0" applyNumberFormat="1" applyFont="1" applyAlignment="1">
      <alignment horizontal="center" vertical="center"/>
    </xf>
    <xf numFmtId="164" fontId="8" fillId="0" borderId="10" xfId="0" applyNumberFormat="1" applyFont="1" applyBorder="1" applyAlignment="1">
      <alignment horizontal="center" vertical="center"/>
    </xf>
    <xf numFmtId="164" fontId="8" fillId="0" borderId="8" xfId="0" applyNumberFormat="1" applyFont="1" applyBorder="1" applyAlignment="1">
      <alignment horizontal="center" vertical="center"/>
    </xf>
    <xf numFmtId="164" fontId="8" fillId="0" borderId="9" xfId="0" applyNumberFormat="1" applyFont="1" applyBorder="1" applyAlignment="1">
      <alignment horizontal="center" vertical="center"/>
    </xf>
    <xf numFmtId="0" fontId="3" fillId="5" borderId="17" xfId="0" applyFont="1" applyFill="1" applyBorder="1" applyAlignment="1" applyProtection="1">
      <alignment horizontal="left" vertical="center"/>
      <protection locked="0"/>
    </xf>
    <xf numFmtId="0" fontId="0" fillId="5" borderId="17" xfId="0" applyFill="1" applyBorder="1" applyAlignment="1" applyProtection="1">
      <alignment horizontal="left" vertical="center"/>
      <protection locked="0"/>
    </xf>
    <xf numFmtId="0" fontId="2" fillId="0" borderId="17" xfId="0" applyFont="1" applyBorder="1" applyAlignment="1">
      <alignment horizontal="left" vertical="center"/>
    </xf>
    <xf numFmtId="0" fontId="0" fillId="0" borderId="1" xfId="0" applyBorder="1" applyAlignment="1">
      <alignment horizontal="left" vertical="center"/>
    </xf>
    <xf numFmtId="0" fontId="3" fillId="2" borderId="17" xfId="0" applyFont="1" applyFill="1"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2" fillId="0" borderId="17" xfId="0" applyFont="1" applyBorder="1"/>
    <xf numFmtId="0" fontId="2" fillId="0" borderId="1" xfId="0" applyFont="1" applyBorder="1"/>
    <xf numFmtId="0" fontId="2" fillId="0" borderId="0" xfId="0" applyFont="1"/>
    <xf numFmtId="0" fontId="3" fillId="0" borderId="12" xfId="0" applyFont="1" applyBorder="1" applyAlignment="1">
      <alignment horizontal="left" vertical="center"/>
    </xf>
    <xf numFmtId="0" fontId="3" fillId="3" borderId="17" xfId="0" applyFont="1" applyFill="1" applyBorder="1" applyAlignment="1">
      <alignment horizontal="left" vertical="center"/>
    </xf>
    <xf numFmtId="0" fontId="35" fillId="0" borderId="0" xfId="0" applyFont="1" applyAlignment="1">
      <alignment horizontal="left" vertical="center" wrapText="1"/>
    </xf>
    <xf numFmtId="0" fontId="1" fillId="0" borderId="0" xfId="0" applyFont="1" applyAlignment="1">
      <alignment horizontal="center" vertical="center"/>
    </xf>
    <xf numFmtId="0" fontId="12" fillId="0" borderId="0" xfId="0" applyFont="1" applyAlignment="1">
      <alignment horizontal="center" vertical="center"/>
    </xf>
    <xf numFmtId="0" fontId="2" fillId="0" borderId="17" xfId="0" applyFont="1" applyBorder="1" applyAlignment="1">
      <alignment horizontal="center" vertical="center"/>
    </xf>
    <xf numFmtId="0" fontId="0" fillId="0" borderId="17" xfId="0" applyBorder="1" applyAlignment="1">
      <alignment horizontal="center" vertical="center"/>
    </xf>
    <xf numFmtId="0" fontId="0" fillId="0" borderId="17" xfId="0" applyBorder="1"/>
    <xf numFmtId="0" fontId="15" fillId="0" borderId="17" xfId="0" applyFont="1" applyBorder="1" applyAlignment="1">
      <alignment horizontal="left" vertical="center"/>
    </xf>
    <xf numFmtId="0" fontId="71" fillId="0" borderId="0" xfId="0" applyFont="1" applyAlignment="1">
      <alignment horizontal="left" vertical="center" wrapText="1"/>
    </xf>
    <xf numFmtId="0" fontId="67" fillId="0" borderId="0" xfId="0" applyFont="1" applyAlignment="1">
      <alignment horizontal="center" vertical="center"/>
    </xf>
    <xf numFmtId="0" fontId="46" fillId="3" borderId="0" xfId="0" applyFont="1" applyFill="1" applyAlignment="1">
      <alignment horizontal="left" vertical="center"/>
    </xf>
    <xf numFmtId="0" fontId="46" fillId="2" borderId="0" xfId="0" applyFont="1" applyFill="1" applyAlignment="1">
      <alignment horizontal="left" vertical="center"/>
    </xf>
    <xf numFmtId="0" fontId="14" fillId="5" borderId="0" xfId="0" applyFont="1" applyFill="1" applyAlignment="1">
      <alignment horizontal="left" vertical="center"/>
    </xf>
    <xf numFmtId="0" fontId="0" fillId="5" borderId="0" xfId="0" applyFill="1" applyAlignment="1">
      <alignment horizontal="left" vertical="center"/>
    </xf>
    <xf numFmtId="0" fontId="0" fillId="0" borderId="8" xfId="0" applyBorder="1" applyAlignment="1">
      <alignment horizontal="center" vertical="center" wrapText="1"/>
    </xf>
    <xf numFmtId="0" fontId="19" fillId="6" borderId="0" xfId="0" applyFont="1" applyFill="1"/>
    <xf numFmtId="0" fontId="0" fillId="6" borderId="0" xfId="0" applyFill="1"/>
    <xf numFmtId="0" fontId="8" fillId="6" borderId="0" xfId="0" applyFont="1" applyFill="1" applyAlignment="1">
      <alignment horizontal="left" vertical="center"/>
    </xf>
    <xf numFmtId="0" fontId="19" fillId="6" borderId="1" xfId="0" quotePrefix="1" applyFont="1" applyFill="1" applyBorder="1" applyAlignment="1">
      <alignment horizontal="left" vertical="center"/>
    </xf>
    <xf numFmtId="42" fontId="0" fillId="6" borderId="2" xfId="0" applyNumberFormat="1" applyFill="1" applyBorder="1" applyAlignment="1">
      <alignment horizontal="right" vertical="center"/>
    </xf>
    <xf numFmtId="42" fontId="0" fillId="6" borderId="3" xfId="0" applyNumberFormat="1" applyFill="1" applyBorder="1" applyAlignment="1">
      <alignment horizontal="right" vertical="center"/>
    </xf>
    <xf numFmtId="0" fontId="0" fillId="0" borderId="2" xfId="0" applyBorder="1"/>
    <xf numFmtId="42" fontId="8" fillId="6" borderId="2" xfId="0" applyNumberFormat="1" applyFont="1" applyFill="1" applyBorder="1" applyAlignment="1">
      <alignment horizontal="right" vertical="center"/>
    </xf>
    <xf numFmtId="42" fontId="8" fillId="6" borderId="3" xfId="0" applyNumberFormat="1" applyFont="1" applyFill="1" applyBorder="1" applyAlignment="1">
      <alignment horizontal="right" vertical="center"/>
    </xf>
    <xf numFmtId="0" fontId="8" fillId="0" borderId="17" xfId="0" applyFont="1" applyBorder="1" applyAlignment="1">
      <alignment horizontal="center" vertical="center"/>
    </xf>
    <xf numFmtId="0" fontId="23" fillId="0" borderId="17" xfId="0" applyFont="1" applyBorder="1" applyAlignment="1">
      <alignment horizontal="left" vertical="center" wrapText="1"/>
    </xf>
    <xf numFmtId="0" fontId="0" fillId="0" borderId="17" xfId="0" applyBorder="1" applyAlignment="1">
      <alignment horizontal="left" vertical="center" wrapText="1"/>
    </xf>
    <xf numFmtId="0" fontId="26" fillId="0" borderId="2" xfId="0" applyFont="1" applyBorder="1" applyAlignment="1">
      <alignment horizontal="left" vertical="center"/>
    </xf>
    <xf numFmtId="0" fontId="26" fillId="0" borderId="3" xfId="0" applyFont="1" applyBorder="1" applyAlignment="1">
      <alignment horizontal="left" vertical="center"/>
    </xf>
    <xf numFmtId="42" fontId="0" fillId="6" borderId="17" xfId="0" applyNumberFormat="1" applyFill="1" applyBorder="1" applyAlignment="1">
      <alignment horizontal="righ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42" fontId="25" fillId="6" borderId="1" xfId="0" applyNumberFormat="1" applyFont="1" applyFill="1" applyBorder="1" applyAlignment="1">
      <alignment horizontal="right" vertical="center"/>
    </xf>
    <xf numFmtId="42" fontId="25" fillId="6" borderId="2" xfId="0" applyNumberFormat="1" applyFont="1" applyFill="1" applyBorder="1" applyAlignment="1">
      <alignment horizontal="right" vertical="center"/>
    </xf>
    <xf numFmtId="42" fontId="25" fillId="6" borderId="3" xfId="0" applyNumberFormat="1" applyFont="1" applyFill="1" applyBorder="1" applyAlignment="1">
      <alignment horizontal="right" vertical="center"/>
    </xf>
    <xf numFmtId="42" fontId="41" fillId="6" borderId="2" xfId="0" applyNumberFormat="1" applyFont="1" applyFill="1" applyBorder="1" applyAlignment="1">
      <alignment horizontal="right" vertical="center"/>
    </xf>
    <xf numFmtId="42" fontId="41" fillId="6" borderId="3" xfId="0" applyNumberFormat="1" applyFont="1" applyFill="1" applyBorder="1" applyAlignment="1">
      <alignment horizontal="right" vertical="center"/>
    </xf>
    <xf numFmtId="0" fontId="2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1" fontId="19" fillId="0" borderId="2" xfId="0" applyNumberFormat="1" applyFont="1" applyBorder="1" applyAlignment="1">
      <alignment horizontal="left" vertical="center"/>
    </xf>
    <xf numFmtId="1" fontId="0" fillId="0" borderId="2" xfId="0" applyNumberFormat="1" applyBorder="1" applyAlignment="1">
      <alignment horizontal="left" vertical="center"/>
    </xf>
    <xf numFmtId="1" fontId="0" fillId="0" borderId="3" xfId="0" applyNumberFormat="1" applyBorder="1" applyAlignment="1">
      <alignment horizontal="left" vertical="center"/>
    </xf>
    <xf numFmtId="42" fontId="31" fillId="6" borderId="1" xfId="0" applyNumberFormat="1" applyFont="1" applyFill="1" applyBorder="1" applyAlignment="1">
      <alignment horizontal="right" vertical="center"/>
    </xf>
    <xf numFmtId="42" fontId="31" fillId="6" borderId="2" xfId="0" applyNumberFormat="1" applyFont="1" applyFill="1" applyBorder="1" applyAlignment="1">
      <alignment horizontal="right" vertical="center"/>
    </xf>
    <xf numFmtId="42" fontId="31" fillId="6" borderId="3" xfId="0" applyNumberFormat="1" applyFont="1" applyFill="1" applyBorder="1" applyAlignment="1">
      <alignment horizontal="right" vertical="center"/>
    </xf>
    <xf numFmtId="0" fontId="10" fillId="0" borderId="2" xfId="0" applyFont="1" applyBorder="1" applyAlignment="1">
      <alignment horizontal="left" vertical="center"/>
    </xf>
    <xf numFmtId="0" fontId="34" fillId="0" borderId="5" xfId="0" applyFont="1" applyBorder="1" applyAlignment="1">
      <alignment horizontal="center" vertical="center"/>
    </xf>
    <xf numFmtId="0" fontId="34" fillId="0" borderId="6" xfId="0" applyFont="1" applyBorder="1" applyAlignment="1">
      <alignment horizontal="center" vertical="center"/>
    </xf>
    <xf numFmtId="0" fontId="0" fillId="0" borderId="10" xfId="0" applyBorder="1" applyAlignment="1">
      <alignment horizontal="center" vertical="center"/>
    </xf>
    <xf numFmtId="0" fontId="43" fillId="0" borderId="0" xfId="0" applyFont="1" applyAlignment="1">
      <alignment horizontal="left" vertical="center"/>
    </xf>
    <xf numFmtId="0" fontId="62" fillId="0" borderId="0" xfId="0" applyFont="1"/>
    <xf numFmtId="0" fontId="8" fillId="6" borderId="2" xfId="0" applyFont="1" applyFill="1" applyBorder="1" applyAlignment="1">
      <alignment horizontal="left" vertical="center"/>
    </xf>
    <xf numFmtId="0" fontId="8" fillId="6" borderId="3" xfId="0" applyFont="1" applyFill="1" applyBorder="1" applyAlignment="1">
      <alignment horizontal="left" vertical="center"/>
    </xf>
    <xf numFmtId="0" fontId="8" fillId="0" borderId="8" xfId="0" applyFont="1" applyBorder="1" applyAlignment="1">
      <alignment horizontal="left" vertical="center"/>
    </xf>
    <xf numFmtId="0" fontId="0" fillId="6" borderId="2" xfId="0" applyFill="1" applyBorder="1" applyAlignment="1">
      <alignment horizontal="left" vertical="center"/>
    </xf>
    <xf numFmtId="0" fontId="0" fillId="6" borderId="3" xfId="0" applyFill="1" applyBorder="1" applyAlignment="1">
      <alignment horizontal="left" vertical="center"/>
    </xf>
    <xf numFmtId="0" fontId="60" fillId="0" borderId="0" xfId="0" applyFont="1" applyAlignment="1">
      <alignment horizontal="left" vertical="center"/>
    </xf>
    <xf numFmtId="0" fontId="76" fillId="0" borderId="0" xfId="0" applyFont="1" applyAlignment="1">
      <alignment horizontal="left" vertical="center"/>
    </xf>
    <xf numFmtId="0" fontId="17" fillId="3" borderId="1" xfId="0" applyFont="1"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42" fontId="3" fillId="9" borderId="5" xfId="0" applyNumberFormat="1" applyFont="1" applyFill="1" applyBorder="1" applyAlignment="1">
      <alignment horizontal="right" vertical="center"/>
    </xf>
    <xf numFmtId="42" fontId="8" fillId="9" borderId="5" xfId="0" applyNumberFormat="1" applyFont="1" applyFill="1" applyBorder="1" applyAlignment="1">
      <alignment horizontal="right" vertical="center"/>
    </xf>
    <xf numFmtId="42" fontId="8" fillId="9" borderId="6" xfId="0" applyNumberFormat="1" applyFont="1" applyFill="1" applyBorder="1" applyAlignment="1">
      <alignment horizontal="right" vertical="center"/>
    </xf>
    <xf numFmtId="42" fontId="8" fillId="9" borderId="8" xfId="0" applyNumberFormat="1" applyFont="1" applyFill="1" applyBorder="1" applyAlignment="1">
      <alignment horizontal="right" vertical="center"/>
    </xf>
    <xf numFmtId="42" fontId="8" fillId="9" borderId="9" xfId="0" applyNumberFormat="1" applyFont="1" applyFill="1" applyBorder="1" applyAlignment="1">
      <alignment horizontal="right" vertical="center"/>
    </xf>
    <xf numFmtId="0" fontId="3" fillId="9" borderId="17" xfId="0" applyFont="1" applyFill="1" applyBorder="1" applyAlignment="1">
      <alignment horizontal="left" vertical="center"/>
    </xf>
    <xf numFmtId="0" fontId="43" fillId="0" borderId="0" xfId="0" applyFont="1" applyAlignment="1">
      <alignment horizontal="left" vertical="center" wrapText="1"/>
    </xf>
    <xf numFmtId="0" fontId="0" fillId="0" borderId="0" xfId="0" applyAlignment="1">
      <alignment wrapText="1"/>
    </xf>
    <xf numFmtId="0" fontId="53" fillId="0" borderId="0" xfId="0" applyFont="1" applyAlignment="1">
      <alignment horizontal="center" vertical="center"/>
    </xf>
    <xf numFmtId="0" fontId="46" fillId="9" borderId="0" xfId="0" applyFont="1" applyFill="1" applyAlignment="1">
      <alignment horizontal="left" vertical="center"/>
    </xf>
    <xf numFmtId="0" fontId="0" fillId="9" borderId="0" xfId="0" applyFill="1" applyAlignment="1">
      <alignment horizontal="left" vertical="center"/>
    </xf>
  </cellXfs>
  <cellStyles count="1">
    <cellStyle name="Normal" xfId="0" builtinId="0"/>
  </cellStyles>
  <dxfs count="0"/>
  <tableStyles count="0" defaultTableStyle="TableStyleMedium9" defaultPivotStyle="PivotStyleLight16"/>
  <colors>
    <mruColors>
      <color rgb="FF8FF9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F6464-72E9-4DD4-AD91-84B383B73EE7}">
  <dimension ref="C2:BK79"/>
  <sheetViews>
    <sheetView showGridLines="0" showRowColHeaders="0" tabSelected="1" workbookViewId="0">
      <selection activeCell="M3" sqref="M3:AS3"/>
    </sheetView>
  </sheetViews>
  <sheetFormatPr defaultColWidth="9.109375" defaultRowHeight="13.8" x14ac:dyDescent="0.25"/>
  <cols>
    <col min="1" max="1" width="9.109375" style="12"/>
    <col min="2" max="52" width="1.88671875" style="12" customWidth="1"/>
    <col min="53" max="53" width="5.44140625" style="12" customWidth="1"/>
    <col min="54" max="54" width="3.6640625" style="12" customWidth="1"/>
    <col min="55" max="55" width="9.109375" style="12" customWidth="1"/>
    <col min="56" max="16384" width="9.109375" style="12"/>
  </cols>
  <sheetData>
    <row r="2" spans="3:63" ht="15" customHeight="1" x14ac:dyDescent="0.25">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BD2" s="100" t="s">
        <v>232</v>
      </c>
      <c r="BE2" s="101"/>
      <c r="BF2" s="101"/>
      <c r="BG2" s="101"/>
      <c r="BH2" s="101"/>
      <c r="BI2" s="101"/>
      <c r="BJ2" s="101"/>
    </row>
    <row r="3" spans="3:63" ht="17.399999999999999" x14ac:dyDescent="0.25">
      <c r="C3" s="94" t="s">
        <v>152</v>
      </c>
      <c r="D3" s="94"/>
      <c r="E3" s="94"/>
      <c r="F3" s="94"/>
      <c r="G3" s="94"/>
      <c r="H3" s="94"/>
      <c r="I3" s="94"/>
      <c r="J3" s="95"/>
      <c r="K3" s="96"/>
      <c r="L3" s="14" t="s">
        <v>5</v>
      </c>
      <c r="M3" s="102"/>
      <c r="N3" s="103"/>
      <c r="O3" s="103"/>
      <c r="P3" s="103"/>
      <c r="Q3" s="103"/>
      <c r="R3" s="103"/>
      <c r="S3" s="103"/>
      <c r="T3" s="103"/>
      <c r="U3" s="103"/>
      <c r="V3" s="103"/>
      <c r="W3" s="103"/>
      <c r="X3" s="103"/>
      <c r="Y3" s="103"/>
      <c r="Z3" s="103"/>
      <c r="AA3" s="103"/>
      <c r="AB3" s="103"/>
      <c r="AC3" s="103"/>
      <c r="AD3" s="104"/>
      <c r="AE3" s="104"/>
      <c r="AF3" s="104"/>
      <c r="AG3" s="104"/>
      <c r="AH3" s="104"/>
      <c r="AI3" s="104"/>
      <c r="AJ3" s="104"/>
      <c r="AK3" s="104"/>
      <c r="AL3" s="104"/>
      <c r="AM3" s="104"/>
      <c r="AN3" s="104"/>
      <c r="AO3" s="104"/>
      <c r="AP3" s="104"/>
      <c r="AQ3" s="104"/>
      <c r="AR3" s="104"/>
      <c r="AS3" s="105"/>
      <c r="AT3" s="36"/>
      <c r="BD3" s="101"/>
      <c r="BE3" s="101"/>
      <c r="BF3" s="101"/>
      <c r="BG3" s="101"/>
      <c r="BH3" s="101"/>
      <c r="BI3" s="101"/>
      <c r="BJ3" s="101"/>
    </row>
    <row r="4" spans="3:63" ht="6.75" customHeight="1" x14ac:dyDescent="0.25">
      <c r="BD4" s="101"/>
      <c r="BE4" s="101"/>
      <c r="BF4" s="101"/>
      <c r="BG4" s="101"/>
      <c r="BH4" s="101"/>
      <c r="BI4" s="101"/>
      <c r="BJ4" s="101"/>
    </row>
    <row r="5" spans="3:63" ht="8.25" customHeight="1" x14ac:dyDescent="0.25">
      <c r="BD5" s="101"/>
      <c r="BE5" s="101"/>
      <c r="BF5" s="101"/>
      <c r="BG5" s="101"/>
      <c r="BH5" s="101"/>
      <c r="BI5" s="101"/>
      <c r="BJ5" s="101"/>
    </row>
    <row r="6" spans="3:63" ht="18" customHeight="1" x14ac:dyDescent="0.25">
      <c r="C6" s="94" t="s">
        <v>13</v>
      </c>
      <c r="D6" s="94"/>
      <c r="E6" s="94"/>
      <c r="F6" s="94"/>
      <c r="G6" s="94"/>
      <c r="H6" s="94"/>
      <c r="I6" s="94"/>
      <c r="J6" s="95"/>
      <c r="K6" s="14" t="s">
        <v>5</v>
      </c>
      <c r="L6" s="97"/>
      <c r="M6" s="103"/>
      <c r="N6" s="103"/>
      <c r="O6" s="103"/>
      <c r="P6" s="103"/>
      <c r="Q6" s="103"/>
      <c r="R6" s="103"/>
      <c r="S6" s="103"/>
      <c r="T6" s="103"/>
      <c r="U6" s="103"/>
      <c r="V6" s="103"/>
      <c r="W6" s="103"/>
      <c r="X6" s="103"/>
      <c r="Y6" s="103"/>
      <c r="Z6" s="103"/>
      <c r="AA6" s="103"/>
      <c r="AB6" s="106"/>
      <c r="AC6" s="34"/>
      <c r="AD6" s="94" t="s">
        <v>132</v>
      </c>
      <c r="AE6" s="96"/>
      <c r="AF6" s="96"/>
      <c r="AG6" s="96"/>
      <c r="AH6" s="96"/>
      <c r="AI6" s="96"/>
      <c r="AJ6" s="14" t="s">
        <v>5</v>
      </c>
      <c r="AK6" s="97"/>
      <c r="AL6" s="104"/>
      <c r="AM6" s="104"/>
      <c r="AN6" s="104"/>
      <c r="AO6" s="104"/>
      <c r="AP6" s="104"/>
      <c r="AQ6" s="104"/>
      <c r="AR6" s="104"/>
      <c r="AS6" s="104"/>
      <c r="AT6" s="104"/>
      <c r="AU6" s="104"/>
      <c r="AV6" s="104"/>
      <c r="AW6" s="104"/>
      <c r="AX6" s="104"/>
      <c r="AY6" s="104"/>
      <c r="AZ6" s="105"/>
      <c r="BA6" s="72"/>
      <c r="BB6" s="72"/>
      <c r="BC6" s="72"/>
      <c r="BD6" s="101"/>
      <c r="BE6" s="101"/>
      <c r="BF6" s="101"/>
      <c r="BG6" s="101"/>
      <c r="BH6" s="101"/>
      <c r="BI6" s="101"/>
      <c r="BJ6" s="101"/>
    </row>
    <row r="7" spans="3:63" ht="9" customHeight="1" x14ac:dyDescent="0.25">
      <c r="BD7" s="111" t="s">
        <v>21</v>
      </c>
      <c r="BE7" s="112"/>
      <c r="BF7" s="112"/>
      <c r="BG7" s="112"/>
      <c r="BH7" s="112"/>
      <c r="BI7" s="112"/>
      <c r="BJ7" s="113"/>
      <c r="BK7" s="43" t="s">
        <v>209</v>
      </c>
    </row>
    <row r="8" spans="3:63" ht="18" customHeight="1" x14ac:dyDescent="0.25">
      <c r="C8" s="94" t="s">
        <v>146</v>
      </c>
      <c r="D8" s="94"/>
      <c r="E8" s="94"/>
      <c r="F8" s="94"/>
      <c r="G8" s="94"/>
      <c r="H8" s="94"/>
      <c r="I8" s="94"/>
      <c r="J8" s="95"/>
      <c r="K8" s="14" t="s">
        <v>5</v>
      </c>
      <c r="L8" s="97"/>
      <c r="M8" s="104"/>
      <c r="N8" s="104"/>
      <c r="O8" s="104"/>
      <c r="P8" s="104"/>
      <c r="Q8" s="104"/>
      <c r="R8" s="104"/>
      <c r="S8" s="104"/>
      <c r="T8" s="104"/>
      <c r="U8" s="104"/>
      <c r="V8" s="104"/>
      <c r="W8" s="104"/>
      <c r="X8" s="104"/>
      <c r="Y8" s="104"/>
      <c r="Z8" s="104"/>
      <c r="AA8" s="104"/>
      <c r="AB8" s="105"/>
      <c r="BD8" s="112"/>
      <c r="BE8" s="112"/>
      <c r="BF8" s="112"/>
      <c r="BG8" s="112"/>
      <c r="BH8" s="112"/>
      <c r="BI8" s="112"/>
      <c r="BJ8" s="113"/>
      <c r="BK8" s="43" t="s">
        <v>210</v>
      </c>
    </row>
    <row r="9" spans="3:63" ht="9" customHeight="1" x14ac:dyDescent="0.25">
      <c r="BD9" s="112"/>
      <c r="BE9" s="112"/>
      <c r="BF9" s="112"/>
      <c r="BG9" s="112"/>
      <c r="BH9" s="112"/>
      <c r="BI9" s="112"/>
      <c r="BJ9" s="113"/>
      <c r="BK9" s="43" t="s">
        <v>211</v>
      </c>
    </row>
    <row r="10" spans="3:63" ht="18" customHeight="1" x14ac:dyDescent="0.25">
      <c r="C10" s="94" t="s">
        <v>15</v>
      </c>
      <c r="D10" s="94"/>
      <c r="E10" s="94"/>
      <c r="F10" s="94"/>
      <c r="G10" s="94"/>
      <c r="H10" s="94"/>
      <c r="I10" s="94"/>
      <c r="J10" s="95"/>
      <c r="K10" s="14" t="s">
        <v>5</v>
      </c>
      <c r="L10" s="107"/>
      <c r="M10" s="104"/>
      <c r="N10" s="104"/>
      <c r="O10" s="104"/>
      <c r="P10" s="104"/>
      <c r="Q10" s="104"/>
      <c r="R10" s="104"/>
      <c r="S10" s="104"/>
      <c r="T10" s="104"/>
      <c r="U10" s="104"/>
      <c r="V10" s="104"/>
      <c r="W10" s="104"/>
      <c r="X10" s="104"/>
      <c r="Y10" s="104"/>
      <c r="Z10" s="104"/>
      <c r="AA10" s="104"/>
      <c r="AB10" s="105"/>
      <c r="AH10" s="35" t="str">
        <f>IF(AND(ISBLANK(L10),ISNUMBER(O16)),"Please select a Designation","")</f>
        <v/>
      </c>
      <c r="BD10" s="110" t="s">
        <v>165</v>
      </c>
      <c r="BE10" s="110"/>
      <c r="BF10" s="110"/>
      <c r="BG10" s="110"/>
      <c r="BH10" s="110"/>
      <c r="BI10" s="110"/>
      <c r="BJ10" s="110"/>
      <c r="BK10" s="43" t="s">
        <v>212</v>
      </c>
    </row>
    <row r="11" spans="3:63" ht="10.5" customHeight="1" x14ac:dyDescent="0.25">
      <c r="G11" s="43" t="s">
        <v>153</v>
      </c>
      <c r="BD11" s="110"/>
      <c r="BE11" s="110"/>
      <c r="BF11" s="110"/>
      <c r="BG11" s="110"/>
      <c r="BH11" s="110"/>
      <c r="BI11" s="110"/>
      <c r="BJ11" s="110"/>
      <c r="BK11" s="43" t="s">
        <v>213</v>
      </c>
    </row>
    <row r="12" spans="3:63" ht="18" customHeight="1" x14ac:dyDescent="0.25">
      <c r="C12" s="94" t="s">
        <v>145</v>
      </c>
      <c r="D12" s="94"/>
      <c r="E12" s="94"/>
      <c r="F12" s="94"/>
      <c r="G12" s="94"/>
      <c r="H12" s="94"/>
      <c r="I12" s="94"/>
      <c r="J12" s="95"/>
      <c r="K12" s="96"/>
      <c r="L12" s="96"/>
      <c r="M12" s="96"/>
      <c r="N12" s="96"/>
      <c r="O12" s="96"/>
      <c r="P12" s="14" t="s">
        <v>5</v>
      </c>
      <c r="Q12" s="97"/>
      <c r="R12" s="98"/>
      <c r="S12" s="98"/>
      <c r="T12" s="98"/>
      <c r="U12" s="98"/>
      <c r="V12" s="98"/>
      <c r="W12" s="98"/>
      <c r="X12" s="98"/>
      <c r="Y12" s="98"/>
      <c r="Z12" s="99"/>
      <c r="AD12" s="94" t="s">
        <v>143</v>
      </c>
      <c r="AE12" s="96"/>
      <c r="AF12" s="96"/>
      <c r="AG12" s="96"/>
      <c r="AH12" s="96"/>
      <c r="AI12" s="96"/>
      <c r="AJ12" s="96"/>
      <c r="AK12" s="96"/>
      <c r="AL12" s="96"/>
      <c r="AM12" s="14" t="s">
        <v>5</v>
      </c>
      <c r="AN12" s="97"/>
      <c r="AO12" s="103"/>
      <c r="AP12" s="103"/>
      <c r="AQ12" s="103"/>
      <c r="AR12" s="103"/>
      <c r="AS12" s="103"/>
      <c r="AT12" s="103"/>
      <c r="AU12" s="103"/>
      <c r="AV12" s="103"/>
      <c r="AW12" s="103"/>
      <c r="AX12" s="103"/>
      <c r="AY12" s="103"/>
      <c r="AZ12" s="106"/>
      <c r="BD12" s="111" t="s">
        <v>36</v>
      </c>
      <c r="BE12" s="114"/>
      <c r="BF12" s="114"/>
      <c r="BG12" s="114"/>
      <c r="BH12" s="114"/>
      <c r="BI12" s="114"/>
      <c r="BJ12" s="114"/>
      <c r="BK12" s="43" t="s">
        <v>214</v>
      </c>
    </row>
    <row r="13" spans="3:63" ht="9" customHeight="1" x14ac:dyDescent="0.25">
      <c r="BD13" s="114"/>
      <c r="BE13" s="114"/>
      <c r="BF13" s="114"/>
      <c r="BG13" s="114"/>
      <c r="BH13" s="114"/>
      <c r="BI13" s="114"/>
      <c r="BJ13" s="114"/>
      <c r="BK13" s="43" t="s">
        <v>7</v>
      </c>
    </row>
    <row r="14" spans="3:63" ht="18" customHeight="1" x14ac:dyDescent="0.6">
      <c r="C14" s="94" t="s">
        <v>144</v>
      </c>
      <c r="D14" s="94"/>
      <c r="E14" s="94"/>
      <c r="F14" s="94"/>
      <c r="G14" s="94"/>
      <c r="H14" s="94"/>
      <c r="I14" s="94"/>
      <c r="J14" s="95"/>
      <c r="K14" s="14" t="s">
        <v>5</v>
      </c>
      <c r="L14" s="97"/>
      <c r="M14" s="98"/>
      <c r="N14" s="98"/>
      <c r="O14" s="98"/>
      <c r="P14" s="98"/>
      <c r="Q14" s="98"/>
      <c r="R14" s="98"/>
      <c r="S14" s="98"/>
      <c r="T14" s="98"/>
      <c r="U14" s="98"/>
      <c r="V14" s="98"/>
      <c r="W14" s="98"/>
      <c r="X14" s="98"/>
      <c r="Y14" s="98"/>
      <c r="Z14" s="98"/>
      <c r="AA14" s="98"/>
      <c r="AB14" s="98"/>
      <c r="AC14" s="98"/>
      <c r="AD14" s="98"/>
      <c r="AE14" s="98"/>
      <c r="AF14" s="98"/>
      <c r="AG14" s="98"/>
      <c r="AH14" s="98"/>
      <c r="AI14" s="98"/>
      <c r="AJ14" s="104"/>
      <c r="AK14" s="105"/>
      <c r="AL14" s="35" t="str">
        <f>IF(AND(ISBLANK(O16),ISBLANK(L10)),"",IF(AND(ISBLANK(L14),ISNUMBER(O16)),"Please select Office Location",""))</f>
        <v/>
      </c>
      <c r="BD14" s="73"/>
      <c r="BE14" s="117" t="s">
        <v>171</v>
      </c>
      <c r="BF14" s="118"/>
      <c r="BG14" s="118"/>
      <c r="BH14" s="118"/>
      <c r="BI14" s="118"/>
      <c r="BK14" s="43" t="s">
        <v>215</v>
      </c>
    </row>
    <row r="15" spans="3:63" ht="9" customHeight="1" x14ac:dyDescent="0.3">
      <c r="BD15" s="6"/>
      <c r="BE15" s="118"/>
      <c r="BF15" s="118"/>
      <c r="BG15" s="118"/>
      <c r="BH15" s="118"/>
      <c r="BI15" s="118"/>
      <c r="BK15" s="43" t="s">
        <v>218</v>
      </c>
    </row>
    <row r="16" spans="3:63" ht="18" customHeight="1" x14ac:dyDescent="0.25">
      <c r="C16" s="94" t="s">
        <v>189</v>
      </c>
      <c r="D16" s="94"/>
      <c r="E16" s="94"/>
      <c r="F16" s="94"/>
      <c r="G16" s="94"/>
      <c r="H16" s="94"/>
      <c r="I16" s="94"/>
      <c r="J16" s="95"/>
      <c r="K16" s="96"/>
      <c r="L16" s="96"/>
      <c r="M16" s="96"/>
      <c r="N16" s="14" t="s">
        <v>5</v>
      </c>
      <c r="O16" s="121"/>
      <c r="P16" s="122"/>
      <c r="Q16" s="122"/>
      <c r="R16" s="122"/>
      <c r="S16" s="122"/>
      <c r="T16" s="122"/>
      <c r="U16" s="122"/>
      <c r="V16" s="122"/>
      <c r="W16" s="122"/>
      <c r="X16" s="122"/>
      <c r="Y16" s="122"/>
      <c r="Z16" s="122"/>
      <c r="AA16" s="122"/>
      <c r="AB16" s="122"/>
      <c r="AC16" s="122"/>
      <c r="AD16" s="123"/>
      <c r="AF16" s="35" t="str">
        <f>IF(AND(ISBLANK(L10),ISBLANK(O16)),"",IF(AND(ISTEXT(L6), ISTEXT(L10), ISBLANK(O16)),"Please enter the basic pay in March.",IF(OR(AND(OR(L10="Assistant Professor - Level 10",L10="College Librarian - Level 10"),OR(O16&lt;57700, O16&gt;182400,BC39)),AND(OR(L10="Assistant Professor - Level 11",L10="College Librarian - Level 11"),OR(O16&lt;68900, O16&gt;205500,BD39)),AND(OR(L10="Assistant Professor - Level 12",L10="College Librarian - Level 12"),OR(O16&lt;79800, O16&gt;211500,BE39)),AND(OR(L10="Associate Professor - Level 13A",L10="College Librarian - Level 13A"),OR(O16&lt;131400, O16&gt;217100,BF39)),AND(L10="Professor - Level 14",OR(O16&lt;144200, O16&gt;218200,BG39)),AND(L10="Professor - Level 15",OR(O16&lt;182200, O16&gt;224100,BH39))),"Please enter a valid basic pay of the present post.","")))</f>
        <v/>
      </c>
      <c r="BK16" s="43" t="s">
        <v>216</v>
      </c>
    </row>
    <row r="17" spans="3:63" ht="7.5" customHeight="1" x14ac:dyDescent="0.25">
      <c r="AF17" s="12" t="s">
        <v>162</v>
      </c>
      <c r="BE17" s="115" t="s">
        <v>229</v>
      </c>
      <c r="BF17" s="115"/>
      <c r="BG17" s="115"/>
      <c r="BH17" s="115"/>
      <c r="BI17" s="115"/>
      <c r="BK17" s="43" t="s">
        <v>217</v>
      </c>
    </row>
    <row r="18" spans="3:63" ht="16.2" x14ac:dyDescent="0.25">
      <c r="C18" s="124" t="s">
        <v>163</v>
      </c>
      <c r="D18" s="124"/>
      <c r="E18" s="124"/>
      <c r="F18" s="124"/>
      <c r="G18" s="124"/>
      <c r="H18" s="124"/>
      <c r="I18" s="124"/>
      <c r="J18" s="125"/>
      <c r="K18" s="126"/>
      <c r="L18" s="126"/>
      <c r="M18" s="126"/>
      <c r="N18" s="126"/>
      <c r="O18" s="126"/>
      <c r="P18" s="126"/>
      <c r="Q18" s="126"/>
      <c r="R18" s="126"/>
      <c r="S18" s="126"/>
      <c r="T18" s="126"/>
      <c r="U18" s="126"/>
      <c r="V18" s="126"/>
      <c r="W18" s="126"/>
      <c r="X18" s="126"/>
      <c r="Y18" s="126"/>
      <c r="Z18" s="126"/>
      <c r="AA18" s="126"/>
      <c r="AB18" s="126"/>
      <c r="AD18" s="43" t="s">
        <v>169</v>
      </c>
      <c r="BE18" s="115"/>
      <c r="BF18" s="115"/>
      <c r="BG18" s="115"/>
      <c r="BH18" s="115"/>
      <c r="BI18" s="115"/>
    </row>
    <row r="19" spans="3:63" ht="9.75" customHeight="1" x14ac:dyDescent="0.25">
      <c r="BE19" s="115"/>
      <c r="BF19" s="115"/>
      <c r="BG19" s="115"/>
      <c r="BH19" s="115"/>
      <c r="BI19" s="115"/>
    </row>
    <row r="20" spans="3:63" ht="18" customHeight="1" x14ac:dyDescent="0.25">
      <c r="C20" s="119" t="s">
        <v>16</v>
      </c>
      <c r="D20" s="120"/>
      <c r="E20" s="120"/>
      <c r="F20" s="14" t="s">
        <v>5</v>
      </c>
      <c r="G20" s="127"/>
      <c r="H20" s="128"/>
      <c r="I20" s="128"/>
      <c r="J20" s="128"/>
      <c r="K20" s="129"/>
      <c r="M20" s="119" t="s">
        <v>206</v>
      </c>
      <c r="N20" s="120"/>
      <c r="O20" s="120"/>
      <c r="P20" s="120"/>
      <c r="Q20" s="120"/>
      <c r="R20" s="14" t="s">
        <v>5</v>
      </c>
      <c r="S20" s="127"/>
      <c r="T20" s="128"/>
      <c r="U20" s="128"/>
      <c r="V20" s="130"/>
      <c r="X20" s="119" t="s">
        <v>17</v>
      </c>
      <c r="Y20" s="120"/>
      <c r="Z20" s="120"/>
      <c r="AA20" s="14" t="s">
        <v>5</v>
      </c>
      <c r="AB20" s="127"/>
      <c r="AC20" s="128"/>
      <c r="AD20" s="128"/>
      <c r="AE20" s="130"/>
      <c r="AG20" s="119" t="s">
        <v>18</v>
      </c>
      <c r="AH20" s="120"/>
      <c r="AI20" s="120"/>
      <c r="AJ20" s="14" t="s">
        <v>5</v>
      </c>
      <c r="AK20" s="127"/>
      <c r="AL20" s="128"/>
      <c r="AM20" s="128"/>
      <c r="AN20" s="130"/>
      <c r="AP20" s="119" t="s">
        <v>87</v>
      </c>
      <c r="AQ20" s="120"/>
      <c r="AR20" s="120"/>
      <c r="AS20" s="14" t="s">
        <v>5</v>
      </c>
      <c r="AT20" s="127"/>
      <c r="AU20" s="128"/>
      <c r="AV20" s="128"/>
      <c r="AW20" s="128"/>
      <c r="AX20" s="130"/>
      <c r="BE20" s="115"/>
      <c r="BF20" s="115"/>
      <c r="BG20" s="115"/>
      <c r="BH20" s="115"/>
      <c r="BI20" s="115"/>
    </row>
    <row r="21" spans="3:63" ht="9" customHeight="1" x14ac:dyDescent="0.25">
      <c r="BE21" s="115"/>
      <c r="BF21" s="115"/>
      <c r="BG21" s="115"/>
      <c r="BH21" s="115"/>
      <c r="BI21" s="115"/>
    </row>
    <row r="22" spans="3:63" x14ac:dyDescent="0.25">
      <c r="C22" s="131" t="s">
        <v>150</v>
      </c>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F22" s="133" t="s">
        <v>5</v>
      </c>
      <c r="AG22" s="135" t="s">
        <v>149</v>
      </c>
      <c r="AH22" s="136"/>
      <c r="AI22" s="136"/>
      <c r="AJ22" s="136"/>
      <c r="AK22" s="136"/>
      <c r="AL22" s="137"/>
      <c r="BE22" s="116"/>
      <c r="BF22" s="116"/>
      <c r="BG22" s="116"/>
      <c r="BH22" s="116"/>
      <c r="BI22" s="116"/>
    </row>
    <row r="23" spans="3:63" ht="15" customHeight="1" x14ac:dyDescent="0.25">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F23" s="134"/>
      <c r="AG23" s="138"/>
      <c r="AH23" s="139"/>
      <c r="AI23" s="139"/>
      <c r="AJ23" s="139"/>
      <c r="AK23" s="139"/>
      <c r="AL23" s="140"/>
      <c r="BD23" s="74"/>
      <c r="BE23" s="108" t="s">
        <v>168</v>
      </c>
      <c r="BF23" s="109"/>
      <c r="BG23" s="109"/>
      <c r="BH23" s="109"/>
      <c r="BI23" s="109"/>
    </row>
    <row r="24" spans="3:63" ht="9.9" customHeight="1" x14ac:dyDescent="0.25">
      <c r="C24" s="87"/>
      <c r="D24" s="87"/>
      <c r="E24" s="87"/>
      <c r="F24" s="87"/>
      <c r="G24" s="87"/>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BD24" s="74"/>
      <c r="BE24" s="108"/>
      <c r="BF24" s="109"/>
      <c r="BG24" s="109"/>
      <c r="BH24" s="109"/>
      <c r="BI24" s="109"/>
    </row>
    <row r="25" spans="3:63" ht="15" customHeight="1" x14ac:dyDescent="0.25">
      <c r="C25" s="131" t="s">
        <v>200</v>
      </c>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132"/>
      <c r="AD25" s="132"/>
      <c r="AF25" s="133" t="s">
        <v>5</v>
      </c>
      <c r="AG25" s="135" t="s">
        <v>149</v>
      </c>
      <c r="AH25" s="136"/>
      <c r="AI25" s="136"/>
      <c r="AJ25" s="136"/>
      <c r="AK25" s="136"/>
      <c r="AL25" s="137"/>
      <c r="BD25" s="74"/>
      <c r="BE25" s="108"/>
      <c r="BF25" s="109"/>
      <c r="BG25" s="109"/>
      <c r="BH25" s="109"/>
      <c r="BI25" s="109"/>
    </row>
    <row r="26" spans="3:63" ht="15" customHeight="1" x14ac:dyDescent="0.25">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F26" s="134"/>
      <c r="AG26" s="138"/>
      <c r="AH26" s="139"/>
      <c r="AI26" s="139"/>
      <c r="AJ26" s="139"/>
      <c r="AK26" s="139"/>
      <c r="AL26" s="140"/>
      <c r="BD26" s="74"/>
      <c r="BE26" s="108"/>
      <c r="BF26" s="109"/>
      <c r="BG26" s="109"/>
      <c r="BH26" s="109"/>
      <c r="BI26" s="109"/>
    </row>
    <row r="27" spans="3:63" ht="9.9" customHeight="1" x14ac:dyDescent="0.25">
      <c r="BD27" s="74"/>
      <c r="BE27" s="109"/>
      <c r="BF27" s="109"/>
      <c r="BG27" s="109"/>
      <c r="BH27" s="109"/>
      <c r="BI27" s="109"/>
    </row>
    <row r="28" spans="3:63" ht="15" customHeight="1" x14ac:dyDescent="0.25">
      <c r="C28" s="131" t="s">
        <v>207</v>
      </c>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F28" s="133" t="s">
        <v>5</v>
      </c>
      <c r="AG28" s="135" t="s">
        <v>149</v>
      </c>
      <c r="AH28" s="136"/>
      <c r="AI28" s="136"/>
      <c r="AJ28" s="136"/>
      <c r="AK28" s="136"/>
      <c r="AL28" s="137"/>
      <c r="BD28" s="74"/>
      <c r="BE28" s="109"/>
      <c r="BF28" s="109"/>
      <c r="BG28" s="109"/>
      <c r="BH28" s="109"/>
      <c r="BI28" s="109"/>
    </row>
    <row r="29" spans="3:63" ht="15" customHeight="1" x14ac:dyDescent="0.25">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F29" s="134"/>
      <c r="AG29" s="138"/>
      <c r="AH29" s="139"/>
      <c r="AI29" s="139"/>
      <c r="AJ29" s="139"/>
      <c r="AK29" s="139"/>
      <c r="AL29" s="140"/>
      <c r="BD29" s="74"/>
      <c r="BE29" s="109"/>
      <c r="BF29" s="109"/>
      <c r="BG29" s="109"/>
      <c r="BH29" s="109"/>
      <c r="BI29" s="109"/>
    </row>
    <row r="30" spans="3:63" ht="9.9" customHeight="1" x14ac:dyDescent="0.25">
      <c r="BD30" s="74"/>
      <c r="BE30" s="109"/>
      <c r="BF30" s="109"/>
      <c r="BG30" s="109"/>
      <c r="BH30" s="109"/>
      <c r="BI30" s="109"/>
    </row>
    <row r="31" spans="3:63" ht="15" customHeight="1" x14ac:dyDescent="0.25">
      <c r="C31" s="131" t="s">
        <v>230</v>
      </c>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F31" s="133" t="s">
        <v>5</v>
      </c>
      <c r="AG31" s="135" t="s">
        <v>149</v>
      </c>
      <c r="AH31" s="136"/>
      <c r="AI31" s="136"/>
      <c r="AJ31" s="136"/>
      <c r="AK31" s="136"/>
      <c r="AL31" s="137"/>
      <c r="BD31" s="74"/>
      <c r="BE31" s="109"/>
      <c r="BF31" s="109"/>
      <c r="BG31" s="109"/>
      <c r="BH31" s="109"/>
      <c r="BI31" s="109"/>
    </row>
    <row r="32" spans="3:63" ht="15" customHeight="1" x14ac:dyDescent="0.25">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F32" s="134"/>
      <c r="AG32" s="138"/>
      <c r="AH32" s="139"/>
      <c r="AI32" s="139"/>
      <c r="AJ32" s="139"/>
      <c r="AK32" s="139"/>
      <c r="AL32" s="140"/>
      <c r="BD32" s="74"/>
      <c r="BE32" s="109"/>
      <c r="BF32" s="109"/>
      <c r="BG32" s="109"/>
      <c r="BH32" s="109"/>
      <c r="BI32" s="109"/>
    </row>
    <row r="33" spans="3:61" ht="9.9" customHeight="1" x14ac:dyDescent="0.25">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BD33" s="74"/>
      <c r="BE33" s="109"/>
      <c r="BF33" s="109"/>
      <c r="BG33" s="109"/>
      <c r="BH33" s="109"/>
      <c r="BI33" s="109"/>
    </row>
    <row r="34" spans="3:61" ht="15" customHeight="1" x14ac:dyDescent="0.25">
      <c r="C34" s="94" t="s">
        <v>11</v>
      </c>
      <c r="D34" s="96"/>
      <c r="E34" s="96"/>
      <c r="F34" s="96"/>
      <c r="G34" s="14" t="s">
        <v>5</v>
      </c>
      <c r="H34" s="97"/>
      <c r="I34" s="104"/>
      <c r="J34" s="104"/>
      <c r="K34" s="104"/>
      <c r="L34" s="104"/>
      <c r="M34" s="104"/>
      <c r="N34" s="104"/>
      <c r="O34" s="104"/>
      <c r="P34" s="104"/>
      <c r="Q34" s="104"/>
      <c r="R34" s="104"/>
      <c r="S34" s="104"/>
      <c r="T34" s="104"/>
      <c r="U34" s="104"/>
      <c r="V34" s="104"/>
      <c r="W34" s="105"/>
      <c r="BD34" s="74"/>
      <c r="BE34" s="109"/>
      <c r="BF34" s="109"/>
      <c r="BG34" s="109"/>
      <c r="BH34" s="109"/>
      <c r="BI34" s="109"/>
    </row>
    <row r="35" spans="3:61" ht="15" customHeight="1" x14ac:dyDescent="0.25">
      <c r="BD35" s="75"/>
      <c r="BE35" s="75"/>
      <c r="BF35" s="75"/>
      <c r="BG35" s="75"/>
      <c r="BH35" s="75"/>
      <c r="BI35" s="75"/>
    </row>
    <row r="36" spans="3:61" ht="15" customHeight="1" x14ac:dyDescent="0.25">
      <c r="C36" s="94" t="s">
        <v>12</v>
      </c>
      <c r="D36" s="96"/>
      <c r="E36" s="96"/>
      <c r="F36" s="96"/>
      <c r="G36" s="14" t="s">
        <v>5</v>
      </c>
      <c r="H36" s="107"/>
      <c r="I36" s="141"/>
      <c r="J36" s="141"/>
      <c r="K36" s="141"/>
      <c r="L36" s="141"/>
      <c r="M36" s="141"/>
      <c r="N36" s="141"/>
      <c r="O36" s="141"/>
      <c r="P36" s="141"/>
      <c r="Q36" s="141"/>
      <c r="R36" s="141"/>
      <c r="S36" s="142"/>
    </row>
    <row r="38" spans="3:61" x14ac:dyDescent="0.25">
      <c r="BC38" s="43">
        <f>O16</f>
        <v>0</v>
      </c>
      <c r="BD38" s="43">
        <f>O16</f>
        <v>0</v>
      </c>
      <c r="BE38" s="43">
        <f>O16</f>
        <v>0</v>
      </c>
      <c r="BF38" s="43">
        <f>O16</f>
        <v>0</v>
      </c>
      <c r="BG38" s="43">
        <f>O16</f>
        <v>0</v>
      </c>
      <c r="BH38" s="43">
        <f>O16</f>
        <v>0</v>
      </c>
    </row>
    <row r="39" spans="3:61" x14ac:dyDescent="0.25">
      <c r="BC39" s="43" t="b">
        <f t="shared" ref="BC39:BH39" si="0">ISNA(VLOOKUP(BC38,BC40:BC79,1,FALSE))</f>
        <v>1</v>
      </c>
      <c r="BD39" s="43" t="b">
        <f t="shared" si="0"/>
        <v>1</v>
      </c>
      <c r="BE39" s="43" t="b">
        <f t="shared" si="0"/>
        <v>1</v>
      </c>
      <c r="BF39" s="43" t="b">
        <f t="shared" si="0"/>
        <v>1</v>
      </c>
      <c r="BG39" s="43" t="b">
        <f t="shared" si="0"/>
        <v>1</v>
      </c>
      <c r="BH39" s="43" t="b">
        <f t="shared" si="0"/>
        <v>1</v>
      </c>
    </row>
    <row r="40" spans="3:61" x14ac:dyDescent="0.25">
      <c r="BC40" s="43">
        <v>57700</v>
      </c>
      <c r="BD40" s="43">
        <v>68900</v>
      </c>
      <c r="BE40" s="43">
        <v>79800</v>
      </c>
      <c r="BF40" s="43">
        <v>131400</v>
      </c>
      <c r="BG40" s="43">
        <v>144200</v>
      </c>
      <c r="BH40" s="43">
        <v>182200</v>
      </c>
    </row>
    <row r="41" spans="3:61" x14ac:dyDescent="0.25">
      <c r="BC41" s="43">
        <f t="shared" ref="BC41:BH41" si="1">MROUND(BC40*1.03,100)</f>
        <v>59400</v>
      </c>
      <c r="BD41" s="43">
        <f t="shared" si="1"/>
        <v>71000</v>
      </c>
      <c r="BE41" s="43">
        <f t="shared" si="1"/>
        <v>82200</v>
      </c>
      <c r="BF41" s="43">
        <f t="shared" si="1"/>
        <v>135300</v>
      </c>
      <c r="BG41" s="43">
        <f t="shared" si="1"/>
        <v>148500</v>
      </c>
      <c r="BH41" s="43">
        <f t="shared" si="1"/>
        <v>187700</v>
      </c>
    </row>
    <row r="42" spans="3:61" x14ac:dyDescent="0.25">
      <c r="BC42" s="43">
        <f t="shared" ref="BC42:BC79" si="2">MROUND(BC41*1.03,100)</f>
        <v>61200</v>
      </c>
      <c r="BD42" s="43">
        <f t="shared" ref="BD42:BD64" si="3">MROUND(BD41*1.03,100)</f>
        <v>73100</v>
      </c>
      <c r="BE42" s="43">
        <f t="shared" ref="BE42:BE73" si="4">MROUND(BE41*1.03,100)</f>
        <v>84700</v>
      </c>
      <c r="BF42" s="43">
        <f t="shared" ref="BF42:BF57" si="5">MROUND(BF41*1.03,100)</f>
        <v>139400</v>
      </c>
      <c r="BG42" s="43">
        <f t="shared" ref="BG42:BG54" si="6">MROUND(BG41*1.03,100)</f>
        <v>153000</v>
      </c>
      <c r="BH42" s="43">
        <f t="shared" ref="BH42:BH47" si="7">MROUND(BH41*1.03,100)</f>
        <v>193300</v>
      </c>
    </row>
    <row r="43" spans="3:61" x14ac:dyDescent="0.25">
      <c r="BC43" s="43">
        <f t="shared" si="2"/>
        <v>63000</v>
      </c>
      <c r="BD43" s="43">
        <f t="shared" si="3"/>
        <v>75300</v>
      </c>
      <c r="BE43" s="43">
        <f t="shared" si="4"/>
        <v>87200</v>
      </c>
      <c r="BF43" s="43">
        <f t="shared" si="5"/>
        <v>143600</v>
      </c>
      <c r="BG43" s="43">
        <f t="shared" si="6"/>
        <v>157600</v>
      </c>
      <c r="BH43" s="43">
        <f t="shared" si="7"/>
        <v>199100</v>
      </c>
    </row>
    <row r="44" spans="3:61" x14ac:dyDescent="0.25">
      <c r="BC44" s="43">
        <f t="shared" si="2"/>
        <v>64900</v>
      </c>
      <c r="BD44" s="43">
        <f t="shared" si="3"/>
        <v>77600</v>
      </c>
      <c r="BE44" s="43">
        <f t="shared" si="4"/>
        <v>89800</v>
      </c>
      <c r="BF44" s="43">
        <f t="shared" si="5"/>
        <v>147900</v>
      </c>
      <c r="BG44" s="43">
        <f t="shared" si="6"/>
        <v>162300</v>
      </c>
      <c r="BH44" s="43">
        <f t="shared" si="7"/>
        <v>205100</v>
      </c>
    </row>
    <row r="45" spans="3:61" x14ac:dyDescent="0.25">
      <c r="BC45" s="43">
        <f t="shared" si="2"/>
        <v>66800</v>
      </c>
      <c r="BD45" s="43">
        <f t="shared" si="3"/>
        <v>79900</v>
      </c>
      <c r="BE45" s="43">
        <f t="shared" si="4"/>
        <v>92500</v>
      </c>
      <c r="BF45" s="43">
        <f t="shared" si="5"/>
        <v>152300</v>
      </c>
      <c r="BG45" s="43">
        <f t="shared" si="6"/>
        <v>167200</v>
      </c>
      <c r="BH45" s="43">
        <f t="shared" si="7"/>
        <v>211300</v>
      </c>
    </row>
    <row r="46" spans="3:61" x14ac:dyDescent="0.25">
      <c r="BC46" s="43">
        <f t="shared" si="2"/>
        <v>68800</v>
      </c>
      <c r="BD46" s="43">
        <f t="shared" si="3"/>
        <v>82300</v>
      </c>
      <c r="BE46" s="43">
        <f t="shared" si="4"/>
        <v>95300</v>
      </c>
      <c r="BF46" s="43">
        <f t="shared" si="5"/>
        <v>156900</v>
      </c>
      <c r="BG46" s="43">
        <f t="shared" si="6"/>
        <v>172200</v>
      </c>
      <c r="BH46" s="43">
        <f t="shared" si="7"/>
        <v>217600</v>
      </c>
    </row>
    <row r="47" spans="3:61" x14ac:dyDescent="0.25">
      <c r="BC47" s="43">
        <f t="shared" si="2"/>
        <v>70900</v>
      </c>
      <c r="BD47" s="43">
        <f t="shared" si="3"/>
        <v>84800</v>
      </c>
      <c r="BE47" s="43">
        <f t="shared" si="4"/>
        <v>98200</v>
      </c>
      <c r="BF47" s="43">
        <f t="shared" si="5"/>
        <v>161600</v>
      </c>
      <c r="BG47" s="43">
        <f t="shared" si="6"/>
        <v>177400</v>
      </c>
      <c r="BH47" s="43">
        <f t="shared" si="7"/>
        <v>224100</v>
      </c>
    </row>
    <row r="48" spans="3:61" x14ac:dyDescent="0.25">
      <c r="BC48" s="43">
        <f t="shared" si="2"/>
        <v>73000</v>
      </c>
      <c r="BD48" s="43">
        <f t="shared" si="3"/>
        <v>87300</v>
      </c>
      <c r="BE48" s="43">
        <f t="shared" si="4"/>
        <v>101100</v>
      </c>
      <c r="BF48" s="43">
        <f t="shared" si="5"/>
        <v>166400</v>
      </c>
      <c r="BG48" s="43">
        <f t="shared" si="6"/>
        <v>182700</v>
      </c>
      <c r="BH48" s="43"/>
    </row>
    <row r="49" spans="55:60" x14ac:dyDescent="0.25">
      <c r="BC49" s="43">
        <f t="shared" si="2"/>
        <v>75200</v>
      </c>
      <c r="BD49" s="43">
        <f t="shared" si="3"/>
        <v>89900</v>
      </c>
      <c r="BE49" s="43">
        <f t="shared" si="4"/>
        <v>104100</v>
      </c>
      <c r="BF49" s="43">
        <f t="shared" si="5"/>
        <v>171400</v>
      </c>
      <c r="BG49" s="43">
        <f t="shared" si="6"/>
        <v>188200</v>
      </c>
      <c r="BH49" s="43"/>
    </row>
    <row r="50" spans="55:60" x14ac:dyDescent="0.25">
      <c r="BC50" s="43">
        <f t="shared" si="2"/>
        <v>77500</v>
      </c>
      <c r="BD50" s="43">
        <f t="shared" si="3"/>
        <v>92600</v>
      </c>
      <c r="BE50" s="43">
        <f t="shared" si="4"/>
        <v>107200</v>
      </c>
      <c r="BF50" s="43">
        <f t="shared" si="5"/>
        <v>176500</v>
      </c>
      <c r="BG50" s="43">
        <f t="shared" si="6"/>
        <v>193800</v>
      </c>
      <c r="BH50" s="43"/>
    </row>
    <row r="51" spans="55:60" x14ac:dyDescent="0.25">
      <c r="BC51" s="43">
        <f t="shared" si="2"/>
        <v>79800</v>
      </c>
      <c r="BD51" s="43">
        <f t="shared" si="3"/>
        <v>95400</v>
      </c>
      <c r="BE51" s="43">
        <f t="shared" si="4"/>
        <v>110400</v>
      </c>
      <c r="BF51" s="43">
        <f t="shared" si="5"/>
        <v>181800</v>
      </c>
      <c r="BG51" s="43">
        <f t="shared" si="6"/>
        <v>199600</v>
      </c>
      <c r="BH51" s="43"/>
    </row>
    <row r="52" spans="55:60" x14ac:dyDescent="0.25">
      <c r="BC52" s="43">
        <f t="shared" si="2"/>
        <v>82200</v>
      </c>
      <c r="BD52" s="43">
        <f t="shared" si="3"/>
        <v>98300</v>
      </c>
      <c r="BE52" s="43">
        <f t="shared" si="4"/>
        <v>113700</v>
      </c>
      <c r="BF52" s="43">
        <f t="shared" si="5"/>
        <v>187300</v>
      </c>
      <c r="BG52" s="43">
        <f t="shared" si="6"/>
        <v>205600</v>
      </c>
      <c r="BH52" s="43"/>
    </row>
    <row r="53" spans="55:60" x14ac:dyDescent="0.25">
      <c r="BC53" s="43">
        <f t="shared" si="2"/>
        <v>84700</v>
      </c>
      <c r="BD53" s="43">
        <f t="shared" si="3"/>
        <v>101200</v>
      </c>
      <c r="BE53" s="43">
        <f t="shared" si="4"/>
        <v>117100</v>
      </c>
      <c r="BF53" s="43">
        <f t="shared" si="5"/>
        <v>192900</v>
      </c>
      <c r="BG53" s="43">
        <f t="shared" si="6"/>
        <v>211800</v>
      </c>
      <c r="BH53" s="43"/>
    </row>
    <row r="54" spans="55:60" x14ac:dyDescent="0.25">
      <c r="BC54" s="43">
        <f t="shared" si="2"/>
        <v>87200</v>
      </c>
      <c r="BD54" s="43">
        <f t="shared" si="3"/>
        <v>104200</v>
      </c>
      <c r="BE54" s="43">
        <f t="shared" si="4"/>
        <v>120600</v>
      </c>
      <c r="BF54" s="43">
        <f t="shared" si="5"/>
        <v>198700</v>
      </c>
      <c r="BG54" s="43">
        <f t="shared" si="6"/>
        <v>218200</v>
      </c>
      <c r="BH54" s="43"/>
    </row>
    <row r="55" spans="55:60" x14ac:dyDescent="0.25">
      <c r="BC55" s="43">
        <f t="shared" si="2"/>
        <v>89800</v>
      </c>
      <c r="BD55" s="43">
        <f t="shared" si="3"/>
        <v>107300</v>
      </c>
      <c r="BE55" s="43">
        <f t="shared" si="4"/>
        <v>124200</v>
      </c>
      <c r="BF55" s="43">
        <f t="shared" si="5"/>
        <v>204700</v>
      </c>
      <c r="BG55" s="43"/>
      <c r="BH55" s="43"/>
    </row>
    <row r="56" spans="55:60" x14ac:dyDescent="0.25">
      <c r="BC56" s="43">
        <f t="shared" si="2"/>
        <v>92500</v>
      </c>
      <c r="BD56" s="43">
        <f t="shared" si="3"/>
        <v>110500</v>
      </c>
      <c r="BE56" s="43">
        <f t="shared" si="4"/>
        <v>127900</v>
      </c>
      <c r="BF56" s="43">
        <f t="shared" si="5"/>
        <v>210800</v>
      </c>
      <c r="BG56" s="43"/>
      <c r="BH56" s="43"/>
    </row>
    <row r="57" spans="55:60" x14ac:dyDescent="0.25">
      <c r="BC57" s="43">
        <f t="shared" si="2"/>
        <v>95300</v>
      </c>
      <c r="BD57" s="43">
        <f t="shared" si="3"/>
        <v>113800</v>
      </c>
      <c r="BE57" s="43">
        <f t="shared" si="4"/>
        <v>131700</v>
      </c>
      <c r="BF57" s="43">
        <f t="shared" si="5"/>
        <v>217100</v>
      </c>
      <c r="BG57" s="43"/>
      <c r="BH57" s="43"/>
    </row>
    <row r="58" spans="55:60" x14ac:dyDescent="0.25">
      <c r="BC58" s="43">
        <f t="shared" si="2"/>
        <v>98200</v>
      </c>
      <c r="BD58" s="43">
        <f t="shared" si="3"/>
        <v>117200</v>
      </c>
      <c r="BE58" s="43">
        <f t="shared" si="4"/>
        <v>135700</v>
      </c>
      <c r="BF58" s="43"/>
      <c r="BG58" s="43"/>
      <c r="BH58" s="43"/>
    </row>
    <row r="59" spans="55:60" x14ac:dyDescent="0.25">
      <c r="BC59" s="43">
        <f t="shared" si="2"/>
        <v>101100</v>
      </c>
      <c r="BD59" s="43">
        <f t="shared" si="3"/>
        <v>120700</v>
      </c>
      <c r="BE59" s="43">
        <f t="shared" si="4"/>
        <v>139800</v>
      </c>
      <c r="BF59" s="43"/>
      <c r="BG59" s="43"/>
      <c r="BH59" s="43"/>
    </row>
    <row r="60" spans="55:60" x14ac:dyDescent="0.25">
      <c r="BC60" s="43">
        <f t="shared" si="2"/>
        <v>104100</v>
      </c>
      <c r="BD60" s="43">
        <f t="shared" si="3"/>
        <v>124300</v>
      </c>
      <c r="BE60" s="43">
        <f t="shared" si="4"/>
        <v>144000</v>
      </c>
      <c r="BF60" s="43"/>
      <c r="BG60" s="43"/>
      <c r="BH60" s="43"/>
    </row>
    <row r="61" spans="55:60" x14ac:dyDescent="0.25">
      <c r="BC61" s="43">
        <f t="shared" si="2"/>
        <v>107200</v>
      </c>
      <c r="BD61" s="43">
        <f t="shared" si="3"/>
        <v>128000</v>
      </c>
      <c r="BE61" s="43">
        <f t="shared" si="4"/>
        <v>148300</v>
      </c>
      <c r="BF61" s="43"/>
      <c r="BG61" s="43"/>
      <c r="BH61" s="43"/>
    </row>
    <row r="62" spans="55:60" x14ac:dyDescent="0.25">
      <c r="BC62" s="43">
        <f t="shared" si="2"/>
        <v>110400</v>
      </c>
      <c r="BD62" s="43">
        <f t="shared" si="3"/>
        <v>131800</v>
      </c>
      <c r="BE62" s="43">
        <f t="shared" si="4"/>
        <v>152700</v>
      </c>
      <c r="BF62" s="43"/>
      <c r="BG62" s="43"/>
      <c r="BH62" s="43"/>
    </row>
    <row r="63" spans="55:60" x14ac:dyDescent="0.25">
      <c r="BC63" s="43">
        <f t="shared" si="2"/>
        <v>113700</v>
      </c>
      <c r="BD63" s="43">
        <f t="shared" si="3"/>
        <v>135800</v>
      </c>
      <c r="BE63" s="43">
        <f t="shared" si="4"/>
        <v>157300</v>
      </c>
      <c r="BF63" s="43"/>
      <c r="BG63" s="43"/>
      <c r="BH63" s="43"/>
    </row>
    <row r="64" spans="55:60" x14ac:dyDescent="0.25">
      <c r="BC64" s="43">
        <f t="shared" si="2"/>
        <v>117100</v>
      </c>
      <c r="BD64" s="43">
        <f t="shared" si="3"/>
        <v>139900</v>
      </c>
      <c r="BE64" s="43">
        <f t="shared" si="4"/>
        <v>162000</v>
      </c>
      <c r="BF64" s="43"/>
      <c r="BG64" s="43"/>
      <c r="BH64" s="43"/>
    </row>
    <row r="65" spans="55:60" x14ac:dyDescent="0.25">
      <c r="BC65" s="43">
        <f t="shared" si="2"/>
        <v>120600</v>
      </c>
      <c r="BD65" s="43">
        <f>MROUND(BD64*1.03,100)</f>
        <v>144100</v>
      </c>
      <c r="BE65" s="43">
        <f t="shared" si="4"/>
        <v>166900</v>
      </c>
      <c r="BF65" s="43"/>
      <c r="BG65" s="43"/>
      <c r="BH65" s="43"/>
    </row>
    <row r="66" spans="55:60" x14ac:dyDescent="0.25">
      <c r="BC66" s="43">
        <f t="shared" si="2"/>
        <v>124200</v>
      </c>
      <c r="BD66" s="43">
        <f t="shared" ref="BD66:BD77" si="8">MROUND(BD65*1.03,100)</f>
        <v>148400</v>
      </c>
      <c r="BE66" s="43">
        <f t="shared" si="4"/>
        <v>171900</v>
      </c>
      <c r="BF66" s="43"/>
      <c r="BG66" s="43"/>
      <c r="BH66" s="43"/>
    </row>
    <row r="67" spans="55:60" x14ac:dyDescent="0.25">
      <c r="BC67" s="43">
        <f t="shared" si="2"/>
        <v>127900</v>
      </c>
      <c r="BD67" s="43">
        <f t="shared" si="8"/>
        <v>152900</v>
      </c>
      <c r="BE67" s="43">
        <f t="shared" si="4"/>
        <v>177100</v>
      </c>
      <c r="BF67" s="43"/>
      <c r="BG67" s="43"/>
      <c r="BH67" s="43"/>
    </row>
    <row r="68" spans="55:60" x14ac:dyDescent="0.25">
      <c r="BC68" s="43">
        <f t="shared" si="2"/>
        <v>131700</v>
      </c>
      <c r="BD68" s="43">
        <f t="shared" si="8"/>
        <v>157500</v>
      </c>
      <c r="BE68" s="43">
        <f t="shared" si="4"/>
        <v>182400</v>
      </c>
      <c r="BF68" s="43"/>
      <c r="BG68" s="43"/>
      <c r="BH68" s="43"/>
    </row>
    <row r="69" spans="55:60" x14ac:dyDescent="0.25">
      <c r="BC69" s="43">
        <f t="shared" si="2"/>
        <v>135700</v>
      </c>
      <c r="BD69" s="43">
        <f t="shared" si="8"/>
        <v>162200</v>
      </c>
      <c r="BE69" s="43">
        <f t="shared" si="4"/>
        <v>187900</v>
      </c>
      <c r="BF69" s="43"/>
      <c r="BG69" s="43"/>
      <c r="BH69" s="43"/>
    </row>
    <row r="70" spans="55:60" x14ac:dyDescent="0.25">
      <c r="BC70" s="43">
        <f t="shared" si="2"/>
        <v>139800</v>
      </c>
      <c r="BD70" s="43">
        <f t="shared" si="8"/>
        <v>167100</v>
      </c>
      <c r="BE70" s="43">
        <f t="shared" si="4"/>
        <v>193500</v>
      </c>
      <c r="BF70" s="43"/>
      <c r="BG70" s="43"/>
      <c r="BH70" s="43"/>
    </row>
    <row r="71" spans="55:60" x14ac:dyDescent="0.25">
      <c r="BC71" s="43">
        <f t="shared" si="2"/>
        <v>144000</v>
      </c>
      <c r="BD71" s="43">
        <f t="shared" si="8"/>
        <v>172100</v>
      </c>
      <c r="BE71" s="43">
        <f t="shared" si="4"/>
        <v>199300</v>
      </c>
      <c r="BF71" s="43"/>
      <c r="BG71" s="43"/>
      <c r="BH71" s="43"/>
    </row>
    <row r="72" spans="55:60" x14ac:dyDescent="0.25">
      <c r="BC72" s="43">
        <f t="shared" si="2"/>
        <v>148300</v>
      </c>
      <c r="BD72" s="43">
        <f t="shared" si="8"/>
        <v>177300</v>
      </c>
      <c r="BE72" s="43">
        <f t="shared" si="4"/>
        <v>205300</v>
      </c>
      <c r="BF72" s="43"/>
      <c r="BG72" s="43"/>
      <c r="BH72" s="43"/>
    </row>
    <row r="73" spans="55:60" x14ac:dyDescent="0.25">
      <c r="BC73" s="43">
        <f t="shared" si="2"/>
        <v>152700</v>
      </c>
      <c r="BD73" s="43">
        <f t="shared" si="8"/>
        <v>182600</v>
      </c>
      <c r="BE73" s="43">
        <f t="shared" si="4"/>
        <v>211500</v>
      </c>
      <c r="BF73" s="43"/>
      <c r="BG73" s="43"/>
      <c r="BH73" s="43"/>
    </row>
    <row r="74" spans="55:60" x14ac:dyDescent="0.25">
      <c r="BC74" s="43">
        <f t="shared" si="2"/>
        <v>157300</v>
      </c>
      <c r="BD74" s="43">
        <f t="shared" si="8"/>
        <v>188100</v>
      </c>
      <c r="BE74" s="43"/>
      <c r="BF74" s="43"/>
      <c r="BG74" s="43"/>
      <c r="BH74" s="43"/>
    </row>
    <row r="75" spans="55:60" x14ac:dyDescent="0.25">
      <c r="BC75" s="43">
        <f t="shared" si="2"/>
        <v>162000</v>
      </c>
      <c r="BD75" s="43">
        <f t="shared" si="8"/>
        <v>193700</v>
      </c>
      <c r="BE75" s="43"/>
      <c r="BF75" s="43"/>
      <c r="BG75" s="43"/>
      <c r="BH75" s="43"/>
    </row>
    <row r="76" spans="55:60" x14ac:dyDescent="0.25">
      <c r="BC76" s="43">
        <f t="shared" si="2"/>
        <v>166900</v>
      </c>
      <c r="BD76" s="43">
        <f t="shared" si="8"/>
        <v>199500</v>
      </c>
      <c r="BE76" s="43"/>
      <c r="BF76" s="43"/>
      <c r="BG76" s="43"/>
      <c r="BH76" s="43"/>
    </row>
    <row r="77" spans="55:60" x14ac:dyDescent="0.25">
      <c r="BC77" s="43">
        <f t="shared" si="2"/>
        <v>171900</v>
      </c>
      <c r="BD77" s="43">
        <f t="shared" si="8"/>
        <v>205500</v>
      </c>
      <c r="BE77" s="43"/>
      <c r="BF77" s="43"/>
      <c r="BG77" s="43"/>
      <c r="BH77" s="43"/>
    </row>
    <row r="78" spans="55:60" x14ac:dyDescent="0.25">
      <c r="BC78" s="43">
        <f t="shared" si="2"/>
        <v>177100</v>
      </c>
      <c r="BD78" s="43"/>
      <c r="BE78" s="43"/>
      <c r="BF78" s="43"/>
      <c r="BG78" s="43"/>
      <c r="BH78" s="43"/>
    </row>
    <row r="79" spans="55:60" x14ac:dyDescent="0.25">
      <c r="BC79" s="43">
        <f t="shared" si="2"/>
        <v>182400</v>
      </c>
      <c r="BD79" s="43"/>
      <c r="BE79" s="43"/>
      <c r="BF79" s="43"/>
      <c r="BG79" s="43"/>
      <c r="BH79" s="43"/>
    </row>
  </sheetData>
  <sheetProtection algorithmName="SHA-512" hashValue="D0rmVsXyZUeFRnarGS8u+8LabTxB3w3dRI/qS0mECB70mErbJaO8u9DRg0NeilI4iBawsF4LlREu1Jrrx5vC0g==" saltValue="e+tbSflZ/iqbAz8za7l5Yg==" spinCount="100000" sheet="1" objects="1" scenarios="1" selectLockedCells="1"/>
  <mergeCells count="52">
    <mergeCell ref="C31:AD32"/>
    <mergeCell ref="AF31:AF32"/>
    <mergeCell ref="AG31:AL32"/>
    <mergeCell ref="AT20:AX20"/>
    <mergeCell ref="C36:F36"/>
    <mergeCell ref="H36:S36"/>
    <mergeCell ref="C22:AD23"/>
    <mergeCell ref="AF22:AF23"/>
    <mergeCell ref="X20:Z20"/>
    <mergeCell ref="AB20:AE20"/>
    <mergeCell ref="H34:W34"/>
    <mergeCell ref="C25:AD26"/>
    <mergeCell ref="AG25:AL26"/>
    <mergeCell ref="AF25:AF26"/>
    <mergeCell ref="C34:F34"/>
    <mergeCell ref="AG22:AL23"/>
    <mergeCell ref="C28:AD29"/>
    <mergeCell ref="AF28:AF29"/>
    <mergeCell ref="AG28:AL29"/>
    <mergeCell ref="AG20:AI20"/>
    <mergeCell ref="AK20:AN20"/>
    <mergeCell ref="AP20:AR20"/>
    <mergeCell ref="L14:AK14"/>
    <mergeCell ref="C16:M16"/>
    <mergeCell ref="O16:AD16"/>
    <mergeCell ref="C18:AB18"/>
    <mergeCell ref="C20:E20"/>
    <mergeCell ref="G20:K20"/>
    <mergeCell ref="M20:Q20"/>
    <mergeCell ref="S20:V20"/>
    <mergeCell ref="C14:J14"/>
    <mergeCell ref="BE23:BI34"/>
    <mergeCell ref="BD10:BJ11"/>
    <mergeCell ref="BD7:BJ9"/>
    <mergeCell ref="BD12:BJ13"/>
    <mergeCell ref="BE17:BI22"/>
    <mergeCell ref="BE14:BI15"/>
    <mergeCell ref="C12:O12"/>
    <mergeCell ref="Q12:Z12"/>
    <mergeCell ref="BD2:BJ6"/>
    <mergeCell ref="C6:J6"/>
    <mergeCell ref="C3:K3"/>
    <mergeCell ref="M3:AS3"/>
    <mergeCell ref="L8:AB8"/>
    <mergeCell ref="L6:AB6"/>
    <mergeCell ref="C8:J8"/>
    <mergeCell ref="AD6:AI6"/>
    <mergeCell ref="AK6:AZ6"/>
    <mergeCell ref="AD12:AL12"/>
    <mergeCell ref="C10:J10"/>
    <mergeCell ref="L10:AB10"/>
    <mergeCell ref="AN12:AZ12"/>
  </mergeCells>
  <dataValidations count="17">
    <dataValidation type="list" allowBlank="1" showInputMessage="1" showErrorMessage="1" errorTitle="Annual Increment Month" error="Please select your Annual Increment Month." promptTitle="Annual Increment Month" prompt="Please select your Annual Increment Month." sqref="Q12:Z12" xr:uid="{A206D2E2-C9F2-4A59-8E15-25B409E4ABE8}">
      <formula1>"January, July"</formula1>
    </dataValidation>
    <dataValidation type="list" allowBlank="1" showInputMessage="1" showErrorMessage="1" errorTitle="Pension Scheme" error="Please select your Pension Scheme." promptTitle="Pension Scheme" prompt="Please select your Pension Scheme." sqref="AN12:AZ12" xr:uid="{B9267D3B-1D7D-4F71-A1A3-3EA9467133BE}">
      <formula1>"Statutory, NPS"</formula1>
    </dataValidation>
    <dataValidation allowBlank="1" showInputMessage="1" showErrorMessage="1" promptTitle="Name" prompt="Please Enter your Name" sqref="L6:AB6" xr:uid="{F8B7B440-951F-42FA-B353-CEA9805F3838}"/>
    <dataValidation allowBlank="1" showInputMessage="1" showErrorMessage="1" promptTitle="PAN No" prompt="Please Enter your PAN No." sqref="AK6:AZ6" xr:uid="{365C4F57-51B2-40D1-978B-5050ECA2505B}"/>
    <dataValidation allowBlank="1" showInputMessage="1" showErrorMessage="1" promptTitle="Father's Name" prompt="Please Enter your Father's Name." sqref="L8:AB8" xr:uid="{F891FF11-65B9-4C3C-9B3C-29B35AB2DEA3}"/>
    <dataValidation type="list" allowBlank="1" showInputMessage="1" showErrorMessage="1" errorTitle="Designation" error="Please select your Designation." promptTitle="Designation" prompt="Please select your Designation." sqref="L10:AB10" xr:uid="{9ED4F42E-73BB-4236-B181-0E93A46C3D6B}">
      <formula1>$BK$7:$BK$17</formula1>
    </dataValidation>
    <dataValidation type="whole" operator="greaterThan" allowBlank="1" showInputMessage="1" showErrorMessage="1" errorTitle="Basic Pay" error="Please enter a valid amount." promptTitle="Basic Pay" prompt="Please enter your basic pay in March." sqref="O16:AD16" xr:uid="{1BB3CEF5-3273-45DB-81D8-774F3DEEEE87}">
      <formula1>1</formula1>
    </dataValidation>
    <dataValidation type="list" allowBlank="1" showInputMessage="1" showErrorMessage="1" promptTitle="Office Location" prompt="Please select your office location classification." sqref="L14:AK14" xr:uid="{D281F550-C883-44B0-941B-8D2E9D200E14}">
      <formula1>"Class A - Corporation limits, Class B - Municipalities at District Headquarters, Class C - Municipalities,Class D - Panchayaths"</formula1>
    </dataValidation>
    <dataValidation allowBlank="1" showInputMessage="1" showErrorMessage="1" promptTitle="Date" prompt="Please enter the date in DD/MM/YYYY format." sqref="H36:S36" xr:uid="{4A52067B-C819-41B7-AFC0-7BF21A7DE386}"/>
    <dataValidation type="list" allowBlank="1" showInputMessage="1" showErrorMessage="1" sqref="AG22:AL26 AG28:AL29 AG31:AL32" xr:uid="{87466B84-DE06-447B-B8E1-0080D029792D}">
      <formula1>"No,Yes"</formula1>
    </dataValidation>
    <dataValidation allowBlank="1" showInputMessage="1" showErrorMessage="1" promptTitle="Place" prompt="Please enter your place." sqref="H34" xr:uid="{23D7F1CB-DD9C-47EA-8F39-AF4B5F6A1BE7}"/>
    <dataValidation allowBlank="1" showInputMessage="1" showErrorMessage="1" promptTitle="Name" prompt="Please Enter the Name of your College" sqref="M3:AS3" xr:uid="{ADD0BE58-AE36-4528-9632-1F62666FB25B}"/>
    <dataValidation type="whole" operator="greaterThanOrEqual" allowBlank="1" showInputMessage="1" showErrorMessage="1" errorTitle="LIC" error="Please enter a valid amount." promptTitle="LIC" prompt="Please enter the monthly deduction amount for LIC." sqref="G20:K20" xr:uid="{1A5B7377-8262-4BF8-99E8-D2869BD30035}">
      <formula1>0</formula1>
    </dataValidation>
    <dataValidation type="whole" operator="greaterThanOrEqual" allowBlank="1" showInputMessage="1" showErrorMessage="1" errorTitle="MediSep" error="Please enter a valid amount." promptTitle="MediSep" prompt="Please enter the monthly deduction amount for MediSep." sqref="S20:V20" xr:uid="{A4EB9002-2D86-415D-AD97-8B187DFE5E0C}">
      <formula1>0</formula1>
    </dataValidation>
    <dataValidation type="whole" operator="greaterThanOrEqual" allowBlank="1" showInputMessage="1" showErrorMessage="1" errorTitle="SLI" error="Please enter a valid amount." promptTitle="SLI" prompt="Please enter the monthly deduction amount for SLI." sqref="AB20:AE20" xr:uid="{9DFCE782-E521-41F9-8FB2-55E2B506C652}">
      <formula1>0</formula1>
    </dataValidation>
    <dataValidation type="whole" operator="greaterThanOrEqual" allowBlank="1" showInputMessage="1" showErrorMessage="1" errorTitle="GIS" error="Please enter a valid amount." promptTitle="GIS" prompt="Please enter the monthly deduction amount for GIS." sqref="AK20:AN20" xr:uid="{6CE64B4B-A1ED-4D82-B03D-B95551FEEEDB}">
      <formula1>0</formula1>
    </dataValidation>
    <dataValidation type="whole" operator="greaterThanOrEqual" allowBlank="1" showInputMessage="1" showErrorMessage="1" errorTitle="PF" promptTitle="PF" prompt="Please enter the monthly deduction amount for PF." sqref="AT20:AX20" xr:uid="{AB0F5632-4DA0-46E8-918C-0D2316C54E7C}">
      <formula1>0</formula1>
    </dataValidation>
  </dataValidations>
  <pageMargins left="0.39370078740157483" right="0" top="0.31496062992125984" bottom="0.31496062992125984" header="0" footer="0"/>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Y209"/>
  <sheetViews>
    <sheetView showGridLines="0" showRowColHeaders="0" zoomScaleNormal="100" workbookViewId="0">
      <selection activeCell="V26" sqref="V26:AE26"/>
    </sheetView>
  </sheetViews>
  <sheetFormatPr defaultColWidth="9.109375" defaultRowHeight="13.8" x14ac:dyDescent="0.25"/>
  <cols>
    <col min="1" max="1" width="9.109375" style="12"/>
    <col min="2" max="7" width="1.44140625" style="12" customWidth="1"/>
    <col min="8" max="16" width="1.6640625" style="12" customWidth="1"/>
    <col min="17" max="22" width="1.5546875" style="12" customWidth="1"/>
    <col min="23" max="28" width="1.6640625" style="12" customWidth="1"/>
    <col min="29" max="33" width="1.5546875" style="12" customWidth="1"/>
    <col min="34" max="46" width="1.6640625" style="12" customWidth="1"/>
    <col min="47" max="63" width="1.5546875" style="12" customWidth="1"/>
    <col min="64" max="66" width="1.6640625" style="12" customWidth="1"/>
    <col min="67" max="67" width="1.5546875" style="12" customWidth="1"/>
    <col min="68" max="16384" width="9.109375" style="12"/>
  </cols>
  <sheetData>
    <row r="1" spans="2:74" ht="18.600000000000001" customHeight="1" x14ac:dyDescent="0.25">
      <c r="B1" s="294" t="str">
        <f>IF(ISBLANK('Basic Information'!M3),"",UPPER('Basic Information'!M3))</f>
        <v/>
      </c>
      <c r="C1" s="295"/>
      <c r="D1" s="295"/>
      <c r="E1" s="295"/>
      <c r="F1" s="295"/>
      <c r="G1" s="295"/>
      <c r="H1" s="295"/>
      <c r="I1" s="295"/>
      <c r="J1" s="295"/>
      <c r="K1" s="295"/>
      <c r="L1" s="295"/>
      <c r="M1" s="295"/>
      <c r="N1" s="295"/>
      <c r="O1" s="295"/>
      <c r="P1" s="295"/>
      <c r="Q1" s="295"/>
      <c r="R1" s="295"/>
      <c r="S1" s="295"/>
      <c r="T1" s="295"/>
      <c r="U1" s="295"/>
      <c r="V1" s="295"/>
      <c r="W1" s="295"/>
      <c r="X1" s="295"/>
      <c r="Y1" s="295"/>
      <c r="Z1" s="295"/>
      <c r="AA1" s="295"/>
      <c r="AB1" s="295"/>
      <c r="AC1" s="295"/>
      <c r="AD1" s="295"/>
      <c r="AE1" s="295"/>
      <c r="AF1" s="295"/>
      <c r="AG1" s="295"/>
      <c r="AH1" s="295"/>
      <c r="AI1" s="295"/>
      <c r="AJ1" s="295"/>
      <c r="AK1" s="295"/>
      <c r="AL1" s="295"/>
      <c r="AM1" s="295"/>
      <c r="AN1" s="295"/>
      <c r="AO1" s="295"/>
      <c r="AP1" s="295"/>
      <c r="AQ1" s="295"/>
      <c r="AR1" s="295"/>
      <c r="AS1" s="295"/>
      <c r="AT1" s="295"/>
      <c r="AU1" s="295"/>
      <c r="AV1" s="295"/>
      <c r="AW1" s="295"/>
      <c r="AX1" s="295"/>
      <c r="AY1" s="295"/>
      <c r="AZ1" s="295"/>
      <c r="BA1" s="295"/>
      <c r="BB1" s="295"/>
      <c r="BC1" s="295"/>
      <c r="BD1" s="295"/>
      <c r="BE1" s="295"/>
      <c r="BF1" s="296"/>
      <c r="BG1" s="296"/>
      <c r="BH1" s="296"/>
      <c r="BI1" s="296"/>
      <c r="BJ1" s="297"/>
    </row>
    <row r="2" spans="2:74" ht="18.600000000000001" customHeight="1" x14ac:dyDescent="0.25">
      <c r="B2" s="298" t="s">
        <v>235</v>
      </c>
      <c r="C2" s="299"/>
      <c r="D2" s="299"/>
      <c r="E2" s="299"/>
      <c r="F2" s="299"/>
      <c r="G2" s="299"/>
      <c r="H2" s="299"/>
      <c r="I2" s="299"/>
      <c r="J2" s="299"/>
      <c r="K2" s="299"/>
      <c r="L2" s="299"/>
      <c r="M2" s="299"/>
      <c r="N2" s="299"/>
      <c r="O2" s="299"/>
      <c r="P2" s="299"/>
      <c r="Q2" s="299"/>
      <c r="R2" s="299"/>
      <c r="S2" s="299"/>
      <c r="T2" s="299"/>
      <c r="U2" s="299"/>
      <c r="V2" s="299"/>
      <c r="W2" s="299"/>
      <c r="X2" s="299"/>
      <c r="Y2" s="299"/>
      <c r="Z2" s="299"/>
      <c r="AA2" s="299"/>
      <c r="AB2" s="299"/>
      <c r="AC2" s="299"/>
      <c r="AD2" s="299"/>
      <c r="AE2" s="299"/>
      <c r="AF2" s="299"/>
      <c r="AG2" s="299"/>
      <c r="AH2" s="299"/>
      <c r="AI2" s="299"/>
      <c r="AJ2" s="299"/>
      <c r="AK2" s="299"/>
      <c r="AL2" s="299"/>
      <c r="AM2" s="299"/>
      <c r="AN2" s="299"/>
      <c r="AO2" s="299"/>
      <c r="AP2" s="299"/>
      <c r="AQ2" s="299"/>
      <c r="AR2" s="299"/>
      <c r="AS2" s="299"/>
      <c r="AT2" s="299"/>
      <c r="AU2" s="299"/>
      <c r="AV2" s="299"/>
      <c r="AW2" s="299"/>
      <c r="AX2" s="299"/>
      <c r="AY2" s="299"/>
      <c r="AZ2" s="299"/>
      <c r="BA2" s="299"/>
      <c r="BB2" s="299"/>
      <c r="BC2" s="299"/>
      <c r="BD2" s="299"/>
      <c r="BE2" s="299"/>
      <c r="BF2" s="300"/>
      <c r="BG2" s="300"/>
      <c r="BH2" s="300"/>
      <c r="BI2" s="300"/>
      <c r="BJ2" s="301"/>
      <c r="BQ2" s="215" t="s">
        <v>233</v>
      </c>
      <c r="BR2" s="216"/>
      <c r="BS2" s="216"/>
      <c r="BT2" s="216"/>
      <c r="BU2" s="216"/>
    </row>
    <row r="3" spans="2:74" ht="18.600000000000001" customHeight="1" x14ac:dyDescent="0.25">
      <c r="B3" s="302" t="s">
        <v>234</v>
      </c>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c r="AK3" s="303"/>
      <c r="AL3" s="303"/>
      <c r="AM3" s="303"/>
      <c r="AN3" s="303"/>
      <c r="AO3" s="303"/>
      <c r="AP3" s="303"/>
      <c r="AQ3" s="303"/>
      <c r="AR3" s="303"/>
      <c r="AS3" s="303"/>
      <c r="AT3" s="303"/>
      <c r="AU3" s="303"/>
      <c r="AV3" s="303"/>
      <c r="AW3" s="303"/>
      <c r="AX3" s="303"/>
      <c r="AY3" s="303"/>
      <c r="AZ3" s="303"/>
      <c r="BA3" s="303"/>
      <c r="BB3" s="303"/>
      <c r="BC3" s="303"/>
      <c r="BD3" s="303"/>
      <c r="BE3" s="303"/>
      <c r="BF3" s="300"/>
      <c r="BG3" s="300"/>
      <c r="BH3" s="300"/>
      <c r="BI3" s="300"/>
      <c r="BJ3" s="301"/>
      <c r="BQ3" s="216"/>
      <c r="BR3" s="216"/>
      <c r="BS3" s="216"/>
      <c r="BT3" s="216"/>
      <c r="BU3" s="216"/>
    </row>
    <row r="4" spans="2:74" ht="3.9" customHeight="1" x14ac:dyDescent="0.35">
      <c r="B4" s="20"/>
      <c r="BJ4" s="26"/>
      <c r="BQ4" s="224" t="s">
        <v>20</v>
      </c>
      <c r="BR4" s="225"/>
      <c r="BS4" s="225"/>
      <c r="BT4" s="225"/>
      <c r="BU4" s="225"/>
      <c r="BV4" s="48"/>
    </row>
    <row r="5" spans="2:74" ht="15.6" x14ac:dyDescent="0.35">
      <c r="B5" s="244" t="s">
        <v>13</v>
      </c>
      <c r="C5" s="94"/>
      <c r="D5" s="94"/>
      <c r="E5" s="94"/>
      <c r="F5" s="94"/>
      <c r="G5" s="94"/>
      <c r="H5" s="94"/>
      <c r="I5" s="94"/>
      <c r="J5" s="94"/>
      <c r="K5" s="27" t="s">
        <v>5</v>
      </c>
      <c r="L5" s="241" t="str">
        <f>IF(ISBLANK('Basic Information'!L6)," ",PROPER('Basic Information'!L6))</f>
        <v xml:space="preserve"> </v>
      </c>
      <c r="M5" s="247"/>
      <c r="N5" s="247"/>
      <c r="O5" s="247"/>
      <c r="P5" s="247"/>
      <c r="Q5" s="247"/>
      <c r="R5" s="247"/>
      <c r="S5" s="247"/>
      <c r="T5" s="247"/>
      <c r="U5" s="247"/>
      <c r="V5" s="247"/>
      <c r="W5" s="247"/>
      <c r="X5" s="247"/>
      <c r="Y5" s="247"/>
      <c r="Z5" s="247"/>
      <c r="AA5" s="247"/>
      <c r="AB5" s="247"/>
      <c r="AC5" s="247"/>
      <c r="AD5" s="247"/>
      <c r="AE5" s="248"/>
      <c r="AF5" s="29"/>
      <c r="AG5" s="94" t="s">
        <v>132</v>
      </c>
      <c r="AH5" s="94"/>
      <c r="AI5" s="94"/>
      <c r="AJ5" s="94"/>
      <c r="AK5" s="94"/>
      <c r="AL5" s="94"/>
      <c r="AM5" s="27" t="s">
        <v>5</v>
      </c>
      <c r="AN5" s="241" t="str">
        <f>IF(ISBLANK('Basic Information'!AK6)," ",UPPER('Basic Information'!AK6))</f>
        <v xml:space="preserve"> </v>
      </c>
      <c r="AO5" s="242"/>
      <c r="AP5" s="242"/>
      <c r="AQ5" s="242"/>
      <c r="AR5" s="242"/>
      <c r="AS5" s="242"/>
      <c r="AT5" s="242"/>
      <c r="AU5" s="242"/>
      <c r="AV5" s="242"/>
      <c r="AW5" s="242"/>
      <c r="AX5" s="242"/>
      <c r="AY5" s="242"/>
      <c r="AZ5" s="242"/>
      <c r="BA5" s="242"/>
      <c r="BB5" s="242"/>
      <c r="BC5" s="242"/>
      <c r="BD5" s="242"/>
      <c r="BE5" s="243"/>
      <c r="BJ5" s="26"/>
      <c r="BQ5" s="225"/>
      <c r="BR5" s="225"/>
      <c r="BS5" s="225"/>
      <c r="BT5" s="225"/>
      <c r="BU5" s="225"/>
      <c r="BV5" s="48"/>
    </row>
    <row r="6" spans="2:74" ht="3.9" customHeight="1" x14ac:dyDescent="0.35">
      <c r="B6" s="20"/>
      <c r="BJ6" s="26"/>
      <c r="BQ6" s="48"/>
      <c r="BR6" s="306" t="s">
        <v>166</v>
      </c>
      <c r="BS6" s="307"/>
      <c r="BT6" s="307"/>
      <c r="BU6" s="307"/>
      <c r="BV6" s="48"/>
    </row>
    <row r="7" spans="2:74" ht="15.6" x14ac:dyDescent="0.35">
      <c r="B7" s="245" t="s">
        <v>15</v>
      </c>
      <c r="C7" s="246"/>
      <c r="D7" s="246"/>
      <c r="E7" s="246"/>
      <c r="F7" s="246"/>
      <c r="G7" s="246"/>
      <c r="H7" s="246"/>
      <c r="I7" s="246"/>
      <c r="J7" s="246"/>
      <c r="K7" s="86" t="s">
        <v>5</v>
      </c>
      <c r="L7" s="241" t="str">
        <f>IF(ISBLANK('Basic Information'!L10)," ",PROPER('Basic Information'!L10))</f>
        <v xml:space="preserve"> </v>
      </c>
      <c r="M7" s="242"/>
      <c r="N7" s="242"/>
      <c r="O7" s="242"/>
      <c r="P7" s="242"/>
      <c r="Q7" s="242"/>
      <c r="R7" s="242"/>
      <c r="S7" s="242"/>
      <c r="T7" s="242"/>
      <c r="U7" s="242"/>
      <c r="V7" s="242"/>
      <c r="W7" s="242"/>
      <c r="X7" s="242"/>
      <c r="Y7" s="242"/>
      <c r="Z7" s="242"/>
      <c r="AA7" s="242"/>
      <c r="AB7" s="242"/>
      <c r="AC7" s="242"/>
      <c r="AD7" s="242"/>
      <c r="AE7" s="243"/>
      <c r="AF7" s="17"/>
      <c r="AG7" s="17"/>
      <c r="AH7" s="33" t="str">
        <f>IF(AND(ISBLANK(L7),ISNUMBER(K12)),"Please select a Designation","")</f>
        <v/>
      </c>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42"/>
      <c r="BP7" s="43">
        <f>IF(ISTEXT(L7),IF(OR(L7="Assistant Professor - Level 10",L7="College Librarian - Level 10"),10,IF(OR(L7="Assistant Professor - Level 11",L7="College Librarian - Level 11"),11,IF(OR(L7="Assistant Professor - Level 12",L7="College Librarian - Level 12"),12,IF(OR(L7="Associate Professor - Level 13A",L7="College Librarian - Level 13A"),13,IF(L7="Professor - Level 14",14,IF(L7="Professor - Level 15",15,IF(L7="Principal",16,0))))))),0)</f>
        <v>0</v>
      </c>
      <c r="BQ7" s="48"/>
      <c r="BR7" s="307"/>
      <c r="BS7" s="307"/>
      <c r="BT7" s="307"/>
      <c r="BU7" s="307"/>
      <c r="BV7" s="48"/>
    </row>
    <row r="8" spans="2:74" ht="5.0999999999999996" customHeight="1" x14ac:dyDescent="0.35">
      <c r="BP8" s="43">
        <f>IF(ISBLANK('Basic Information'!O16),0,'Basic Information'!O16)</f>
        <v>0</v>
      </c>
      <c r="BQ8" s="224" t="s">
        <v>21</v>
      </c>
      <c r="BR8" s="308"/>
      <c r="BS8" s="308"/>
      <c r="BT8" s="308"/>
      <c r="BU8" s="308"/>
      <c r="BV8" s="48"/>
    </row>
    <row r="9" spans="2:74" ht="15" customHeight="1" x14ac:dyDescent="0.35">
      <c r="B9" s="256" t="s">
        <v>88</v>
      </c>
      <c r="C9" s="257"/>
      <c r="D9" s="257"/>
      <c r="E9" s="257"/>
      <c r="F9" s="257"/>
      <c r="G9" s="257"/>
      <c r="H9" s="257"/>
      <c r="I9" s="257"/>
      <c r="J9" s="257"/>
      <c r="K9" s="257"/>
      <c r="L9" s="257"/>
      <c r="M9" s="257"/>
      <c r="N9" s="257"/>
      <c r="O9" s="257"/>
      <c r="P9" s="257"/>
      <c r="Q9" s="257"/>
      <c r="R9" s="257"/>
      <c r="S9" s="257"/>
      <c r="T9" s="257"/>
      <c r="U9" s="258"/>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44"/>
      <c r="BP9" s="43">
        <f>IF(ISTEXT('Basic Information'!L14),IF('Basic Information'!L14="Class A - Corporation limits",10,IF('Basic Information'!L14="Class B - Municipalities at District Headquarters",8,IF('Basic Information'!L14="Class C - Municipalities",6,IF('Basic Information'!L14="Class D - Panchayaths",4,0)))),0)</f>
        <v>0</v>
      </c>
      <c r="BQ9" s="308"/>
      <c r="BR9" s="308"/>
      <c r="BS9" s="308"/>
      <c r="BT9" s="308"/>
      <c r="BU9" s="308"/>
      <c r="BV9" s="48"/>
    </row>
    <row r="10" spans="2:74" ht="2.4" customHeight="1" x14ac:dyDescent="0.25">
      <c r="B10" s="30"/>
      <c r="C10" s="31"/>
      <c r="D10" s="31"/>
      <c r="E10" s="31"/>
      <c r="F10" s="31"/>
      <c r="G10" s="31"/>
      <c r="H10" s="31"/>
      <c r="I10" s="31"/>
      <c r="J10" s="31"/>
      <c r="K10" s="31"/>
      <c r="L10" s="31"/>
      <c r="M10" s="31"/>
      <c r="N10" s="31"/>
      <c r="O10" s="31"/>
      <c r="P10" s="31"/>
      <c r="Q10" s="31"/>
      <c r="R10" s="31"/>
      <c r="S10" s="31"/>
      <c r="T10" s="31"/>
      <c r="U10" s="32"/>
      <c r="BJ10" s="26"/>
      <c r="BQ10" s="309" t="s">
        <v>165</v>
      </c>
      <c r="BR10" s="310"/>
      <c r="BS10" s="310"/>
      <c r="BT10" s="310"/>
      <c r="BU10" s="310"/>
      <c r="BV10" s="310"/>
    </row>
    <row r="11" spans="2:74" ht="15" customHeight="1" x14ac:dyDescent="0.25">
      <c r="B11" s="249" t="s">
        <v>0</v>
      </c>
      <c r="C11" s="164"/>
      <c r="D11" s="164"/>
      <c r="E11" s="164"/>
      <c r="F11" s="164"/>
      <c r="G11" s="164"/>
      <c r="H11" s="164"/>
      <c r="I11" s="164"/>
      <c r="J11" s="164"/>
      <c r="K11" s="226" t="s">
        <v>1</v>
      </c>
      <c r="L11" s="227"/>
      <c r="M11" s="227"/>
      <c r="N11" s="227"/>
      <c r="O11" s="227"/>
      <c r="P11" s="227"/>
      <c r="Q11" s="226" t="s">
        <v>2</v>
      </c>
      <c r="R11" s="227" t="s">
        <v>2</v>
      </c>
      <c r="S11" s="227"/>
      <c r="T11" s="227"/>
      <c r="U11" s="227"/>
      <c r="V11" s="227"/>
      <c r="W11" s="226" t="s">
        <v>3</v>
      </c>
      <c r="X11" s="227"/>
      <c r="Y11" s="227" t="s">
        <v>3</v>
      </c>
      <c r="Z11" s="227"/>
      <c r="AA11" s="227"/>
      <c r="AB11" s="227"/>
      <c r="AC11" s="226" t="s">
        <v>4</v>
      </c>
      <c r="AD11" s="253"/>
      <c r="AE11" s="253"/>
      <c r="AF11" s="253"/>
      <c r="AG11" s="253"/>
      <c r="AH11" s="253"/>
      <c r="AI11" s="254"/>
      <c r="AJ11" s="226" t="s">
        <v>16</v>
      </c>
      <c r="AK11" s="227"/>
      <c r="AL11" s="227"/>
      <c r="AM11" s="227" t="s">
        <v>16</v>
      </c>
      <c r="AN11" s="227"/>
      <c r="AO11" s="227"/>
      <c r="AP11" s="250" t="s">
        <v>206</v>
      </c>
      <c r="AQ11" s="251"/>
      <c r="AR11" s="251"/>
      <c r="AS11" s="251"/>
      <c r="AT11" s="252"/>
      <c r="AU11" s="226" t="s">
        <v>17</v>
      </c>
      <c r="AV11" s="253"/>
      <c r="AW11" s="253"/>
      <c r="AX11" s="253"/>
      <c r="AY11" s="254" t="s">
        <v>18</v>
      </c>
      <c r="AZ11" s="226" t="s">
        <v>18</v>
      </c>
      <c r="BA11" s="253"/>
      <c r="BB11" s="253"/>
      <c r="BC11" s="253"/>
      <c r="BD11" s="254" t="s">
        <v>87</v>
      </c>
      <c r="BE11" s="226" t="s">
        <v>87</v>
      </c>
      <c r="BF11" s="227"/>
      <c r="BG11" s="227"/>
      <c r="BH11" s="227"/>
      <c r="BI11" s="227"/>
      <c r="BJ11" s="255"/>
      <c r="BQ11" s="310"/>
      <c r="BR11" s="310"/>
      <c r="BS11" s="310"/>
      <c r="BT11" s="310"/>
      <c r="BU11" s="310"/>
      <c r="BV11" s="310"/>
    </row>
    <row r="12" spans="2:74" ht="15" customHeight="1" x14ac:dyDescent="0.25">
      <c r="B12" s="233" t="s">
        <v>28</v>
      </c>
      <c r="C12" s="234"/>
      <c r="D12" s="234"/>
      <c r="E12" s="234"/>
      <c r="F12" s="234"/>
      <c r="G12" s="234"/>
      <c r="H12" s="235">
        <v>2024</v>
      </c>
      <c r="I12" s="235"/>
      <c r="J12" s="236"/>
      <c r="K12" s="143">
        <f>IF(BP8&lt;&gt;0,IF(BP7=10,IF(BP8&gt;=182400,182400,BP8),IF(BP7=11,IF(BP8&gt;=205500,205500,BP8),IF(BP7=12,IF(BP8&gt;=211500,211500,BP8),IF(BP7=13,IF(BP8&gt;=217100,217100,BP8),IF(OR(BP7=14,BP7=16),IF(BP8&gt;=218200,218200,BP8),IF(BP7=15,IF(BP8&gt;=224100,224100, BP8),0)))))),)</f>
        <v>0</v>
      </c>
      <c r="L12" s="144"/>
      <c r="M12" s="144"/>
      <c r="N12" s="144"/>
      <c r="O12" s="144"/>
      <c r="P12" s="145"/>
      <c r="Q12" s="143">
        <f t="shared" ref="Q12" si="0">IF(ISNUMBER(K12),ROUND((K12)*0.17,0),0)</f>
        <v>0</v>
      </c>
      <c r="R12" s="144"/>
      <c r="S12" s="144"/>
      <c r="T12" s="144"/>
      <c r="U12" s="144"/>
      <c r="V12" s="145"/>
      <c r="W12" s="143">
        <f>IF(K12&lt;&gt;0,IF(BP9=10,IF(K12*0.1&gt;=10000,10000,IF(K12*0.1&lt;=2300,2300,ROUND(K12*0.1,0))),IF(BP9=8,IF(K12*0.08&gt;=8000,8000,IF(K12*0.08&lt;=2000,2000,ROUND(K12*0.08,0))),IF(BP9=6,IF(K12*0.06&gt;=6000,6000,IF(K12*0.06&lt;=1500,1500,ROUND(K12*0.06,0))),IF(BP9=4,IF(K12*0.04&gt;=4000,4000,IF(K12*0.04&lt;=1200,1200,ROUND(K12*0.04,0))),0)))),0)</f>
        <v>0</v>
      </c>
      <c r="X12" s="228"/>
      <c r="Y12" s="228"/>
      <c r="Z12" s="228"/>
      <c r="AA12" s="228"/>
      <c r="AB12" s="229"/>
      <c r="AC12" s="143">
        <f>SUM(K12,Q12,W12)</f>
        <v>0</v>
      </c>
      <c r="AD12" s="149"/>
      <c r="AE12" s="149"/>
      <c r="AF12" s="149"/>
      <c r="AG12" s="149"/>
      <c r="AH12" s="149"/>
      <c r="AI12" s="150"/>
      <c r="AJ12" s="143">
        <f>IF('Basic Information'!G20&lt;&gt;0,'Basic Information'!G20,0)</f>
        <v>0</v>
      </c>
      <c r="AK12" s="144"/>
      <c r="AL12" s="144"/>
      <c r="AM12" s="144"/>
      <c r="AN12" s="144"/>
      <c r="AO12" s="145"/>
      <c r="AP12" s="143">
        <f>IF('Basic Information'!S20&lt;&gt;0,'Basic Information'!S20,0)</f>
        <v>0</v>
      </c>
      <c r="AQ12" s="144"/>
      <c r="AR12" s="144"/>
      <c r="AS12" s="144"/>
      <c r="AT12" s="145"/>
      <c r="AU12" s="143">
        <f>IF('Basic Information'!AB20&lt;&gt;0,'Basic Information'!AB20,0)</f>
        <v>0</v>
      </c>
      <c r="AV12" s="144"/>
      <c r="AW12" s="144"/>
      <c r="AX12" s="144"/>
      <c r="AY12" s="145"/>
      <c r="AZ12" s="143">
        <f>IF('Basic Information'!AK20&lt;&gt;0,'Basic Information'!AK20,0)</f>
        <v>0</v>
      </c>
      <c r="BA12" s="144"/>
      <c r="BB12" s="144"/>
      <c r="BC12" s="144"/>
      <c r="BD12" s="145"/>
      <c r="BE12" s="143">
        <f>IF('Basic Information'!AT20&lt;&gt;0,'Basic Information'!AT20,0)</f>
        <v>0</v>
      </c>
      <c r="BF12" s="144"/>
      <c r="BG12" s="144"/>
      <c r="BH12" s="144"/>
      <c r="BI12" s="144"/>
      <c r="BJ12" s="145"/>
      <c r="BQ12" s="317" t="s">
        <v>36</v>
      </c>
      <c r="BR12" s="318"/>
      <c r="BS12" s="318"/>
      <c r="BT12" s="318"/>
      <c r="BU12" s="318"/>
      <c r="BV12" s="318"/>
    </row>
    <row r="13" spans="2:74" ht="15" customHeight="1" x14ac:dyDescent="0.25">
      <c r="B13" s="233" t="s">
        <v>29</v>
      </c>
      <c r="C13" s="234"/>
      <c r="D13" s="234"/>
      <c r="E13" s="234"/>
      <c r="F13" s="234"/>
      <c r="G13" s="234"/>
      <c r="H13" s="235">
        <v>2024</v>
      </c>
      <c r="I13" s="235"/>
      <c r="J13" s="236"/>
      <c r="K13" s="143">
        <f>IF(K12&lt;&gt;0,K12,0)</f>
        <v>0</v>
      </c>
      <c r="L13" s="144"/>
      <c r="M13" s="144"/>
      <c r="N13" s="144"/>
      <c r="O13" s="144"/>
      <c r="P13" s="145"/>
      <c r="Q13" s="143">
        <f>IF(ISNUMBER(K13),ROUND((K13)*0.31,0),0)</f>
        <v>0</v>
      </c>
      <c r="R13" s="144"/>
      <c r="S13" s="144"/>
      <c r="T13" s="144"/>
      <c r="U13" s="144"/>
      <c r="V13" s="145"/>
      <c r="W13" s="143">
        <f>IF(K13&lt;&gt;0,IF(BP9=10,IF(K13*0.1&gt;=10000,10000,IF(K13*0.1&lt;=2300,2300,ROUND(K13*0.1,0))),IF(BP9=8,IF(K13*0.08&gt;=8000,8000,IF(K13*0.08&lt;=2000,2000,ROUND(K13*0.08,0))),IF(BP9=6,IF(K13*0.06&gt;=6000,6000,IF(K13*0.06&lt;=1500,1500,ROUND(K13*0.06,0))),IF(BP9=4,IF(K13*0.04&gt;=4000,4000,IF(K13*0.04&lt;=1200,1200,ROUND(K13*0.04,0))),0)))),0)</f>
        <v>0</v>
      </c>
      <c r="X13" s="228"/>
      <c r="Y13" s="228"/>
      <c r="Z13" s="228"/>
      <c r="AA13" s="228"/>
      <c r="AB13" s="229"/>
      <c r="AC13" s="143">
        <f t="shared" ref="AC13:AC23" si="1">SUM(K13,Q13,W13)</f>
        <v>0</v>
      </c>
      <c r="AD13" s="149"/>
      <c r="AE13" s="149"/>
      <c r="AF13" s="149"/>
      <c r="AG13" s="149"/>
      <c r="AH13" s="149"/>
      <c r="AI13" s="150"/>
      <c r="AJ13" s="143">
        <f>IF(AJ12&lt;&gt;0,AJ12,0)</f>
        <v>0</v>
      </c>
      <c r="AK13" s="144"/>
      <c r="AL13" s="144"/>
      <c r="AM13" s="144"/>
      <c r="AN13" s="144"/>
      <c r="AO13" s="145"/>
      <c r="AP13" s="143">
        <f t="shared" ref="AP13:AP23" si="2">IF(AP12&lt;&gt;0,AP12,0)</f>
        <v>0</v>
      </c>
      <c r="AQ13" s="144"/>
      <c r="AR13" s="144"/>
      <c r="AS13" s="144"/>
      <c r="AT13" s="145"/>
      <c r="AU13" s="143">
        <f>IF(AU12&lt;&gt;0,AU12,0)</f>
        <v>0</v>
      </c>
      <c r="AV13" s="144"/>
      <c r="AW13" s="144"/>
      <c r="AX13" s="144"/>
      <c r="AY13" s="145"/>
      <c r="AZ13" s="143">
        <f>IF(AZ12&lt;&gt;0,AZ12,0)</f>
        <v>0</v>
      </c>
      <c r="BA13" s="144"/>
      <c r="BB13" s="144"/>
      <c r="BC13" s="144"/>
      <c r="BD13" s="145"/>
      <c r="BE13" s="143">
        <f>IF(BE12&lt;&gt;0,BE12,0)</f>
        <v>0</v>
      </c>
      <c r="BF13" s="144"/>
      <c r="BG13" s="144"/>
      <c r="BH13" s="144"/>
      <c r="BI13" s="144"/>
      <c r="BJ13" s="145"/>
      <c r="BQ13" s="116"/>
      <c r="BR13" s="116"/>
      <c r="BS13" s="116"/>
      <c r="BT13" s="116"/>
      <c r="BU13" s="116"/>
      <c r="BV13" s="116"/>
    </row>
    <row r="14" spans="2:74" ht="15" customHeight="1" x14ac:dyDescent="0.35">
      <c r="B14" s="233" t="s">
        <v>30</v>
      </c>
      <c r="C14" s="234"/>
      <c r="D14" s="234"/>
      <c r="E14" s="234"/>
      <c r="F14" s="234"/>
      <c r="G14" s="234"/>
      <c r="H14" s="235">
        <v>2024</v>
      </c>
      <c r="I14" s="235"/>
      <c r="J14" s="236"/>
      <c r="K14" s="143">
        <f>IF(K13&lt;&gt;0,K13,0)</f>
        <v>0</v>
      </c>
      <c r="L14" s="144"/>
      <c r="M14" s="144"/>
      <c r="N14" s="144"/>
      <c r="O14" s="144"/>
      <c r="P14" s="145"/>
      <c r="Q14" s="143">
        <f t="shared" ref="Q14:Q18" si="3">IF(ISNUMBER(K14),ROUND((K14)*0.31,0),0)</f>
        <v>0</v>
      </c>
      <c r="R14" s="144"/>
      <c r="S14" s="144"/>
      <c r="T14" s="144"/>
      <c r="U14" s="144"/>
      <c r="V14" s="145"/>
      <c r="W14" s="143">
        <f>IF(K14&lt;&gt;0,IF(BP9=10,IF(K14*0.1&gt;=10000,10000,IF(K14*0.1&lt;=2300,2300,ROUND(K14*0.1,0))),IF(BP9=8,IF(K14*0.08&gt;=8000,8000,IF(K14*0.08&lt;=2000,2000,ROUND(K14*0.08,0))),IF(BP9=6,IF(K14*0.06&gt;=6000,6000,IF(K14*0.06&lt;=1500,1500,ROUND(K14*0.06,0))),IF(BP9=4,IF(K14*0.04&gt;=4000,4000,IF(K14*0.04&lt;=1200,1200,ROUND(K14*0.04,0))),0)))),0)</f>
        <v>0</v>
      </c>
      <c r="X14" s="228"/>
      <c r="Y14" s="228"/>
      <c r="Z14" s="228"/>
      <c r="AA14" s="228"/>
      <c r="AB14" s="229"/>
      <c r="AC14" s="143">
        <f t="shared" si="1"/>
        <v>0</v>
      </c>
      <c r="AD14" s="149"/>
      <c r="AE14" s="149"/>
      <c r="AF14" s="149"/>
      <c r="AG14" s="149"/>
      <c r="AH14" s="149"/>
      <c r="AI14" s="150"/>
      <c r="AJ14" s="143">
        <f t="shared" ref="AJ14:AJ22" si="4">IF(AJ13&lt;&gt;0,AJ13,0)</f>
        <v>0</v>
      </c>
      <c r="AK14" s="144"/>
      <c r="AL14" s="144"/>
      <c r="AM14" s="144"/>
      <c r="AN14" s="144"/>
      <c r="AO14" s="145"/>
      <c r="AP14" s="143">
        <f t="shared" si="2"/>
        <v>0</v>
      </c>
      <c r="AQ14" s="144"/>
      <c r="AR14" s="144"/>
      <c r="AS14" s="144"/>
      <c r="AT14" s="145"/>
      <c r="AU14" s="143">
        <f t="shared" ref="AU14:AU23" si="5">IF(AU13&lt;&gt;0,AU13,0)</f>
        <v>0</v>
      </c>
      <c r="AV14" s="144"/>
      <c r="AW14" s="144"/>
      <c r="AX14" s="144"/>
      <c r="AY14" s="145"/>
      <c r="AZ14" s="143">
        <f t="shared" ref="AZ14:AZ23" si="6">IF(AZ13&lt;&gt;0,AZ13,0)</f>
        <v>0</v>
      </c>
      <c r="BA14" s="144"/>
      <c r="BB14" s="144"/>
      <c r="BC14" s="144"/>
      <c r="BD14" s="145"/>
      <c r="BE14" s="143">
        <f t="shared" ref="BE14:BE23" si="7">IF(BE13&lt;&gt;0,BE13,0)</f>
        <v>0</v>
      </c>
      <c r="BF14" s="144"/>
      <c r="BG14" s="144"/>
      <c r="BH14" s="144"/>
      <c r="BI14" s="144"/>
      <c r="BJ14" s="145"/>
      <c r="BQ14" s="48"/>
      <c r="BR14" s="311" t="s">
        <v>22</v>
      </c>
      <c r="BS14" s="311"/>
      <c r="BT14" s="311"/>
      <c r="BU14" s="311"/>
      <c r="BV14" s="311"/>
    </row>
    <row r="15" spans="2:74" ht="15" customHeight="1" x14ac:dyDescent="0.35">
      <c r="B15" s="233" t="s">
        <v>31</v>
      </c>
      <c r="C15" s="234"/>
      <c r="D15" s="234"/>
      <c r="E15" s="234"/>
      <c r="F15" s="234"/>
      <c r="G15" s="234"/>
      <c r="H15" s="235">
        <v>2024</v>
      </c>
      <c r="I15" s="235"/>
      <c r="J15" s="236"/>
      <c r="K15" s="143">
        <f>IF(K14&lt;&gt;0,K14,0)</f>
        <v>0</v>
      </c>
      <c r="L15" s="144"/>
      <c r="M15" s="144"/>
      <c r="N15" s="144"/>
      <c r="O15" s="144"/>
      <c r="P15" s="145"/>
      <c r="Q15" s="143">
        <f t="shared" si="3"/>
        <v>0</v>
      </c>
      <c r="R15" s="144"/>
      <c r="S15" s="144"/>
      <c r="T15" s="144"/>
      <c r="U15" s="144"/>
      <c r="V15" s="145"/>
      <c r="W15" s="143">
        <f>IF(K15&lt;&gt;0,IF(BP9=10,IF(K15*0.1&gt;=10000,10000,IF(K15*0.1&lt;=2300,2300,ROUND(K15*0.1,0))),IF(BP9=8,IF(K15*0.08&gt;=8000,8000,IF(K15*0.08&lt;=2000,2000,ROUND(K15*0.08,0))),IF(BP9=6,IF(K15*0.06&gt;=6000,6000,IF(K15*0.06&lt;=1500,1500,ROUND(K15*0.06,0))),IF(BP9=4,IF(K15*0.04&gt;=4000,4000,IF(K15*0.04&lt;=1200,1200,ROUND(K15*0.04,0))),0)))),0)</f>
        <v>0</v>
      </c>
      <c r="X15" s="228"/>
      <c r="Y15" s="228"/>
      <c r="Z15" s="228"/>
      <c r="AA15" s="228"/>
      <c r="AB15" s="229"/>
      <c r="AC15" s="143">
        <f t="shared" si="1"/>
        <v>0</v>
      </c>
      <c r="AD15" s="149"/>
      <c r="AE15" s="149"/>
      <c r="AF15" s="149"/>
      <c r="AG15" s="149"/>
      <c r="AH15" s="149"/>
      <c r="AI15" s="150"/>
      <c r="AJ15" s="143">
        <f t="shared" si="4"/>
        <v>0</v>
      </c>
      <c r="AK15" s="144"/>
      <c r="AL15" s="144"/>
      <c r="AM15" s="144"/>
      <c r="AN15" s="144"/>
      <c r="AO15" s="145"/>
      <c r="AP15" s="143">
        <f t="shared" si="2"/>
        <v>0</v>
      </c>
      <c r="AQ15" s="144"/>
      <c r="AR15" s="144"/>
      <c r="AS15" s="144"/>
      <c r="AT15" s="145"/>
      <c r="AU15" s="143">
        <f t="shared" si="5"/>
        <v>0</v>
      </c>
      <c r="AV15" s="144"/>
      <c r="AW15" s="144"/>
      <c r="AX15" s="144"/>
      <c r="AY15" s="145"/>
      <c r="AZ15" s="143">
        <f t="shared" si="6"/>
        <v>0</v>
      </c>
      <c r="BA15" s="144"/>
      <c r="BB15" s="144"/>
      <c r="BC15" s="144"/>
      <c r="BD15" s="145"/>
      <c r="BE15" s="143">
        <f t="shared" si="7"/>
        <v>0</v>
      </c>
      <c r="BF15" s="144"/>
      <c r="BG15" s="144"/>
      <c r="BH15" s="144"/>
      <c r="BI15" s="144"/>
      <c r="BJ15" s="145"/>
      <c r="BQ15" s="48"/>
      <c r="BR15" s="312" t="s">
        <v>171</v>
      </c>
      <c r="BS15" s="313"/>
      <c r="BT15" s="313"/>
      <c r="BU15" s="313"/>
      <c r="BV15" s="313"/>
    </row>
    <row r="16" spans="2:74" ht="15" customHeight="1" x14ac:dyDescent="0.35">
      <c r="B16" s="233" t="s">
        <v>32</v>
      </c>
      <c r="C16" s="234"/>
      <c r="D16" s="234"/>
      <c r="E16" s="234"/>
      <c r="F16" s="234"/>
      <c r="G16" s="234"/>
      <c r="H16" s="235">
        <v>2024</v>
      </c>
      <c r="I16" s="235"/>
      <c r="J16" s="236"/>
      <c r="K16" s="143">
        <f>IF('Basic Information'!Q12="July",IF(K12&lt;&gt;0,IF(BP7=10,IF(OR(K12&gt;=182400,MROUND(K12*1.03,100)&gt;=182400),182400,MROUND(K12*1.03,100)),IF(BP7=11,IF(OR(K12&gt;=205500,MROUND(K12*1.03,100)&gt;=205500),205500,MROUND(K12*1.03,100)),IF(BP7=12,IF(OR(K12&gt;=211500,MROUND(K12*1.03,100)&gt;=211500),211500,MROUND(K12*1.03,100)),IF(BP7=13,IF(OR(K12&gt;=217100,MROUND(K12*1.03,100)&gt;=217100),217100,MROUND(K12*1.03,100)),IF(OR(BP7=14,BP7=16),IF(OR(K12&gt;=218200,MROUND(K12*1.03,100)&gt;=218200),218200,MROUND(K12*1.03,100)),IF(BP7=15,IF(OR(K12&gt;=224100,MROUND(K12*1.03,100)&gt;=224100),224100, MROUND(K12*1.03,100)),0)))))),),IF(K15&lt;&gt;0,K15,0))</f>
        <v>0</v>
      </c>
      <c r="L16" s="144"/>
      <c r="M16" s="144"/>
      <c r="N16" s="144"/>
      <c r="O16" s="144"/>
      <c r="P16" s="145"/>
      <c r="Q16" s="143">
        <f t="shared" si="3"/>
        <v>0</v>
      </c>
      <c r="R16" s="144"/>
      <c r="S16" s="144"/>
      <c r="T16" s="144"/>
      <c r="U16" s="144"/>
      <c r="V16" s="145"/>
      <c r="W16" s="143">
        <f>IF(K16&lt;&gt;0,IF(BP9=10,IF(K16*0.1&gt;=10000,10000,IF(K16*0.1&lt;=2300,2300,ROUND(K16*0.1,0))),IF(BP9=8,IF(K16*0.08&gt;=8000,8000,IF(K16*0.08&lt;=2000,2000,ROUND(K16*0.08,0))),IF(BP9=6,IF(K16*0.06&gt;=6000,6000,IF(K16*0.06&lt;=1500,1500,ROUND(K16*0.06,0))),IF(BP9=4,IF(K16*0.04&gt;=4000,4000,IF(K16*0.04&lt;=1200,1200,ROUND(K16*0.04,0))),0)))),0)</f>
        <v>0</v>
      </c>
      <c r="X16" s="228"/>
      <c r="Y16" s="228"/>
      <c r="Z16" s="228"/>
      <c r="AA16" s="228"/>
      <c r="AB16" s="229"/>
      <c r="AC16" s="143">
        <f t="shared" si="1"/>
        <v>0</v>
      </c>
      <c r="AD16" s="149"/>
      <c r="AE16" s="149"/>
      <c r="AF16" s="149"/>
      <c r="AG16" s="149"/>
      <c r="AH16" s="149"/>
      <c r="AI16" s="150"/>
      <c r="AJ16" s="143">
        <f t="shared" si="4"/>
        <v>0</v>
      </c>
      <c r="AK16" s="144"/>
      <c r="AL16" s="144"/>
      <c r="AM16" s="144"/>
      <c r="AN16" s="144"/>
      <c r="AO16" s="145"/>
      <c r="AP16" s="143">
        <f t="shared" si="2"/>
        <v>0</v>
      </c>
      <c r="AQ16" s="144"/>
      <c r="AR16" s="144"/>
      <c r="AS16" s="144"/>
      <c r="AT16" s="145"/>
      <c r="AU16" s="143">
        <f t="shared" si="5"/>
        <v>0</v>
      </c>
      <c r="AV16" s="144"/>
      <c r="AW16" s="144"/>
      <c r="AX16" s="144"/>
      <c r="AY16" s="145"/>
      <c r="AZ16" s="143">
        <f t="shared" si="6"/>
        <v>0</v>
      </c>
      <c r="BA16" s="144"/>
      <c r="BB16" s="144"/>
      <c r="BC16" s="144"/>
      <c r="BD16" s="145"/>
      <c r="BE16" s="143">
        <f t="shared" si="7"/>
        <v>0</v>
      </c>
      <c r="BF16" s="144"/>
      <c r="BG16" s="144"/>
      <c r="BH16" s="144"/>
      <c r="BI16" s="144"/>
      <c r="BJ16" s="145"/>
      <c r="BP16" s="43"/>
      <c r="BQ16" s="49"/>
      <c r="BR16" s="314" t="s">
        <v>37</v>
      </c>
      <c r="BS16" s="314"/>
      <c r="BT16" s="314"/>
      <c r="BU16" s="314"/>
      <c r="BV16" s="314"/>
    </row>
    <row r="17" spans="2:74" ht="15" customHeight="1" x14ac:dyDescent="0.35">
      <c r="B17" s="233" t="s">
        <v>33</v>
      </c>
      <c r="C17" s="234"/>
      <c r="D17" s="234"/>
      <c r="E17" s="234"/>
      <c r="F17" s="234"/>
      <c r="G17" s="234"/>
      <c r="H17" s="235">
        <v>2024</v>
      </c>
      <c r="I17" s="235"/>
      <c r="J17" s="236"/>
      <c r="K17" s="143">
        <f>IF(K16&lt;&gt;0,K16,0)</f>
        <v>0</v>
      </c>
      <c r="L17" s="144"/>
      <c r="M17" s="144"/>
      <c r="N17" s="144"/>
      <c r="O17" s="144"/>
      <c r="P17" s="145"/>
      <c r="Q17" s="143">
        <f t="shared" si="3"/>
        <v>0</v>
      </c>
      <c r="R17" s="144"/>
      <c r="S17" s="144"/>
      <c r="T17" s="144"/>
      <c r="U17" s="144"/>
      <c r="V17" s="145"/>
      <c r="W17" s="143">
        <f>IF(K17&lt;&gt;0,IF(BP9=10,IF(K17*0.1&gt;=10000,10000,IF(K17*0.1&lt;=2300,2300,ROUND(K17*0.1,0))),IF(BP9=8,IF(K17*0.08&gt;=8000,8000,IF(K17*0.08&lt;=2000,2000,ROUND(K17*0.08,0))),IF(BP9=6,IF(K17*0.06&gt;=6000,6000,IF(K17*0.06&lt;=1500,1500,ROUND(K17*0.06,0))),IF(BP9=4,IF(K17*0.04&gt;=4000,4000,IF(K17*0.04&lt;=1200,1200,ROUND(K17*0.04,0))),0)))),0)</f>
        <v>0</v>
      </c>
      <c r="X17" s="228"/>
      <c r="Y17" s="228"/>
      <c r="Z17" s="228"/>
      <c r="AA17" s="228"/>
      <c r="AB17" s="229"/>
      <c r="AC17" s="143">
        <f t="shared" si="1"/>
        <v>0</v>
      </c>
      <c r="AD17" s="149"/>
      <c r="AE17" s="149"/>
      <c r="AF17" s="149"/>
      <c r="AG17" s="149"/>
      <c r="AH17" s="149"/>
      <c r="AI17" s="150"/>
      <c r="AJ17" s="143">
        <f t="shared" si="4"/>
        <v>0</v>
      </c>
      <c r="AK17" s="144"/>
      <c r="AL17" s="144"/>
      <c r="AM17" s="144"/>
      <c r="AN17" s="144"/>
      <c r="AO17" s="145"/>
      <c r="AP17" s="143">
        <f t="shared" si="2"/>
        <v>0</v>
      </c>
      <c r="AQ17" s="144"/>
      <c r="AR17" s="144"/>
      <c r="AS17" s="144"/>
      <c r="AT17" s="145"/>
      <c r="AU17" s="143">
        <f t="shared" si="5"/>
        <v>0</v>
      </c>
      <c r="AV17" s="144"/>
      <c r="AW17" s="144"/>
      <c r="AX17" s="144"/>
      <c r="AY17" s="145"/>
      <c r="AZ17" s="143">
        <f t="shared" si="6"/>
        <v>0</v>
      </c>
      <c r="BA17" s="144"/>
      <c r="BB17" s="144"/>
      <c r="BC17" s="144"/>
      <c r="BD17" s="145"/>
      <c r="BE17" s="143">
        <f t="shared" si="7"/>
        <v>0</v>
      </c>
      <c r="BF17" s="144"/>
      <c r="BG17" s="144"/>
      <c r="BH17" s="144"/>
      <c r="BI17" s="144"/>
      <c r="BJ17" s="145"/>
      <c r="BQ17" s="49"/>
      <c r="BR17" s="76"/>
      <c r="BS17" s="76"/>
      <c r="BT17" s="76"/>
      <c r="BU17" s="76"/>
      <c r="BV17" s="48"/>
    </row>
    <row r="18" spans="2:74" ht="15" customHeight="1" x14ac:dyDescent="0.25">
      <c r="B18" s="233" t="s">
        <v>24</v>
      </c>
      <c r="C18" s="234"/>
      <c r="D18" s="234"/>
      <c r="E18" s="234"/>
      <c r="F18" s="234"/>
      <c r="G18" s="234"/>
      <c r="H18" s="235">
        <v>2024</v>
      </c>
      <c r="I18" s="235"/>
      <c r="J18" s="236"/>
      <c r="K18" s="143">
        <f>IF(K17&lt;&gt;0,K17,0)</f>
        <v>0</v>
      </c>
      <c r="L18" s="144"/>
      <c r="M18" s="144"/>
      <c r="N18" s="144"/>
      <c r="O18" s="144"/>
      <c r="P18" s="145"/>
      <c r="Q18" s="143">
        <f t="shared" si="3"/>
        <v>0</v>
      </c>
      <c r="R18" s="144"/>
      <c r="S18" s="144"/>
      <c r="T18" s="144"/>
      <c r="U18" s="144"/>
      <c r="V18" s="145"/>
      <c r="W18" s="143">
        <f>IF(K18&lt;&gt;0,IF(BP9=10,IF(K18*0.1&gt;=10000,10000,IF(K18*0.1&lt;=2300,2300,ROUND(K18*0.1,0))),IF(BP9=8,IF(K18*0.08&gt;=8000,8000,IF(K18*0.08&lt;=2000,2000,ROUND(K18*0.08,0))),IF(BP9=6,IF(K18*0.06&gt;=6000,6000,IF(K18*0.06&lt;=1500,1500,ROUND(K18*0.06,0))),IF(BP9=4,IF(K18*0.04&gt;=4000,4000,IF(K18*0.04&lt;=1200,1200,ROUND(K18*0.04,0))),0)))),0)</f>
        <v>0</v>
      </c>
      <c r="X18" s="228"/>
      <c r="Y18" s="228"/>
      <c r="Z18" s="228"/>
      <c r="AA18" s="228"/>
      <c r="AB18" s="229"/>
      <c r="AC18" s="143">
        <f t="shared" si="1"/>
        <v>0</v>
      </c>
      <c r="AD18" s="149"/>
      <c r="AE18" s="149"/>
      <c r="AF18" s="149"/>
      <c r="AG18" s="149"/>
      <c r="AH18" s="149"/>
      <c r="AI18" s="150"/>
      <c r="AJ18" s="143">
        <f t="shared" si="4"/>
        <v>0</v>
      </c>
      <c r="AK18" s="144"/>
      <c r="AL18" s="144"/>
      <c r="AM18" s="144"/>
      <c r="AN18" s="144"/>
      <c r="AO18" s="145"/>
      <c r="AP18" s="143">
        <f t="shared" si="2"/>
        <v>0</v>
      </c>
      <c r="AQ18" s="144"/>
      <c r="AR18" s="144"/>
      <c r="AS18" s="144"/>
      <c r="AT18" s="145"/>
      <c r="AU18" s="143">
        <f t="shared" si="5"/>
        <v>0</v>
      </c>
      <c r="AV18" s="144"/>
      <c r="AW18" s="144"/>
      <c r="AX18" s="144"/>
      <c r="AY18" s="145"/>
      <c r="AZ18" s="143">
        <f t="shared" si="6"/>
        <v>0</v>
      </c>
      <c r="BA18" s="144"/>
      <c r="BB18" s="144"/>
      <c r="BC18" s="144"/>
      <c r="BD18" s="145"/>
      <c r="BE18" s="143">
        <f t="shared" si="7"/>
        <v>0</v>
      </c>
      <c r="BF18" s="144"/>
      <c r="BG18" s="144"/>
      <c r="BH18" s="144"/>
      <c r="BI18" s="144"/>
      <c r="BJ18" s="145"/>
      <c r="BQ18" s="315" t="s">
        <v>190</v>
      </c>
      <c r="BR18" s="316"/>
      <c r="BS18" s="316"/>
      <c r="BT18" s="316"/>
      <c r="BU18" s="316"/>
      <c r="BV18" s="316"/>
    </row>
    <row r="19" spans="2:74" ht="15" customHeight="1" x14ac:dyDescent="0.25">
      <c r="B19" s="233" t="s">
        <v>34</v>
      </c>
      <c r="C19" s="234"/>
      <c r="D19" s="234"/>
      <c r="E19" s="234"/>
      <c r="F19" s="234"/>
      <c r="G19" s="234"/>
      <c r="H19" s="235">
        <v>2024</v>
      </c>
      <c r="I19" s="235"/>
      <c r="J19" s="236"/>
      <c r="K19" s="143">
        <f>IF(K18&lt;&gt;0,K18,0)</f>
        <v>0</v>
      </c>
      <c r="L19" s="144"/>
      <c r="M19" s="144"/>
      <c r="N19" s="144"/>
      <c r="O19" s="144"/>
      <c r="P19" s="145"/>
      <c r="Q19" s="143">
        <f>IF(ISNUMBER(K19),ROUND((K19)*0.34,0),0)</f>
        <v>0</v>
      </c>
      <c r="R19" s="144"/>
      <c r="S19" s="144"/>
      <c r="T19" s="144"/>
      <c r="U19" s="144"/>
      <c r="V19" s="145"/>
      <c r="W19" s="143">
        <f>IF(K19&lt;&gt;0,IF(BP9=10,IF(K19*0.1&gt;=10000,10000,IF(K19*0.1&lt;=2300,2300,ROUND(K19*0.1,0))),IF(BP9=8,IF(K19*0.08&gt;=8000,8000,IF(K19*0.08&lt;=2000,2000,ROUND(K19*0.08,0))),IF(BP9=6,IF(K19*0.06&gt;=6000,6000,IF(K19*0.06&lt;=1500,1500,ROUND(K19*0.06,0))),IF(BP9=4,IF(K19*0.04&gt;=4000,4000,IF(K19*0.04&lt;=1200,1200,ROUND(K19*0.04,0))),0)))),0)</f>
        <v>0</v>
      </c>
      <c r="X19" s="228"/>
      <c r="Y19" s="228"/>
      <c r="Z19" s="228"/>
      <c r="AA19" s="228"/>
      <c r="AB19" s="229"/>
      <c r="AC19" s="143">
        <f t="shared" si="1"/>
        <v>0</v>
      </c>
      <c r="AD19" s="149"/>
      <c r="AE19" s="149"/>
      <c r="AF19" s="149"/>
      <c r="AG19" s="149"/>
      <c r="AH19" s="149"/>
      <c r="AI19" s="150"/>
      <c r="AJ19" s="143">
        <f t="shared" si="4"/>
        <v>0</v>
      </c>
      <c r="AK19" s="144"/>
      <c r="AL19" s="144"/>
      <c r="AM19" s="144"/>
      <c r="AN19" s="144"/>
      <c r="AO19" s="145"/>
      <c r="AP19" s="143">
        <f t="shared" si="2"/>
        <v>0</v>
      </c>
      <c r="AQ19" s="144"/>
      <c r="AR19" s="144"/>
      <c r="AS19" s="144"/>
      <c r="AT19" s="145"/>
      <c r="AU19" s="143">
        <f t="shared" si="5"/>
        <v>0</v>
      </c>
      <c r="AV19" s="144"/>
      <c r="AW19" s="144"/>
      <c r="AX19" s="144"/>
      <c r="AY19" s="145"/>
      <c r="AZ19" s="143">
        <f t="shared" si="6"/>
        <v>0</v>
      </c>
      <c r="BA19" s="144"/>
      <c r="BB19" s="144"/>
      <c r="BC19" s="144"/>
      <c r="BD19" s="145"/>
      <c r="BE19" s="143">
        <f t="shared" si="7"/>
        <v>0</v>
      </c>
      <c r="BF19" s="144"/>
      <c r="BG19" s="144"/>
      <c r="BH19" s="144"/>
      <c r="BI19" s="144"/>
      <c r="BJ19" s="145"/>
      <c r="BQ19" s="316"/>
      <c r="BR19" s="316"/>
      <c r="BS19" s="316"/>
      <c r="BT19" s="316"/>
      <c r="BU19" s="316"/>
      <c r="BV19" s="316"/>
    </row>
    <row r="20" spans="2:74" ht="15" customHeight="1" x14ac:dyDescent="0.25">
      <c r="B20" s="233" t="s">
        <v>35</v>
      </c>
      <c r="C20" s="234"/>
      <c r="D20" s="234"/>
      <c r="E20" s="234"/>
      <c r="F20" s="234"/>
      <c r="G20" s="234"/>
      <c r="H20" s="235">
        <v>2024</v>
      </c>
      <c r="I20" s="235"/>
      <c r="J20" s="236"/>
      <c r="K20" s="143">
        <f>IF(K19&lt;&gt;0,K19,0)</f>
        <v>0</v>
      </c>
      <c r="L20" s="144"/>
      <c r="M20" s="144"/>
      <c r="N20" s="144"/>
      <c r="O20" s="144"/>
      <c r="P20" s="145"/>
      <c r="Q20" s="143">
        <f t="shared" ref="Q20:Q23" si="8">IF(ISNUMBER(K20),ROUND((K20)*0.34,0),0)</f>
        <v>0</v>
      </c>
      <c r="R20" s="144"/>
      <c r="S20" s="144"/>
      <c r="T20" s="144"/>
      <c r="U20" s="144"/>
      <c r="V20" s="145"/>
      <c r="W20" s="143">
        <f>IF(K20&lt;&gt;0,IF(BP9=10,IF(K20*0.1&gt;=10000,10000,IF(K20*0.1&lt;=2300,2300,ROUND(K20*0.1,0))),IF(BP9=8,IF(K20*0.08&gt;=8000,8000,IF(K20*0.08&lt;=2000,2000,ROUND(K20*0.08,0))),IF(BP9=6,IF(K20*0.06&gt;=6000,6000,IF(K20*0.06&lt;=1500,1500,ROUND(K20*0.06,0))),IF(BP9=4,IF(K20*0.04&gt;=4000,4000,IF(K20*0.04&lt;=1200,1200,ROUND(K20*0.04,0))),0)))),0)</f>
        <v>0</v>
      </c>
      <c r="X20" s="228"/>
      <c r="Y20" s="228"/>
      <c r="Z20" s="228"/>
      <c r="AA20" s="228"/>
      <c r="AB20" s="229"/>
      <c r="AC20" s="143">
        <f t="shared" si="1"/>
        <v>0</v>
      </c>
      <c r="AD20" s="149"/>
      <c r="AE20" s="149"/>
      <c r="AF20" s="149"/>
      <c r="AG20" s="149"/>
      <c r="AH20" s="149"/>
      <c r="AI20" s="150"/>
      <c r="AJ20" s="143">
        <f t="shared" si="4"/>
        <v>0</v>
      </c>
      <c r="AK20" s="144"/>
      <c r="AL20" s="144"/>
      <c r="AM20" s="144"/>
      <c r="AN20" s="144"/>
      <c r="AO20" s="145"/>
      <c r="AP20" s="143">
        <f t="shared" si="2"/>
        <v>0</v>
      </c>
      <c r="AQ20" s="144"/>
      <c r="AR20" s="144"/>
      <c r="AS20" s="144"/>
      <c r="AT20" s="145"/>
      <c r="AU20" s="143">
        <f t="shared" si="5"/>
        <v>0</v>
      </c>
      <c r="AV20" s="144"/>
      <c r="AW20" s="144"/>
      <c r="AX20" s="144"/>
      <c r="AY20" s="145"/>
      <c r="AZ20" s="143">
        <f t="shared" si="6"/>
        <v>0</v>
      </c>
      <c r="BA20" s="144"/>
      <c r="BB20" s="144"/>
      <c r="BC20" s="144"/>
      <c r="BD20" s="145"/>
      <c r="BE20" s="143">
        <f t="shared" si="7"/>
        <v>0</v>
      </c>
      <c r="BF20" s="144"/>
      <c r="BG20" s="144"/>
      <c r="BH20" s="144"/>
      <c r="BI20" s="144"/>
      <c r="BJ20" s="145"/>
      <c r="BQ20" s="316"/>
      <c r="BR20" s="316"/>
      <c r="BS20" s="316"/>
      <c r="BT20" s="316"/>
      <c r="BU20" s="316"/>
      <c r="BV20" s="316"/>
    </row>
    <row r="21" spans="2:74" ht="15" customHeight="1" x14ac:dyDescent="0.25">
      <c r="B21" s="233" t="s">
        <v>27</v>
      </c>
      <c r="C21" s="234"/>
      <c r="D21" s="234"/>
      <c r="E21" s="234"/>
      <c r="F21" s="234"/>
      <c r="G21" s="234"/>
      <c r="H21" s="235">
        <v>2024</v>
      </c>
      <c r="I21" s="235"/>
      <c r="J21" s="236"/>
      <c r="K21" s="143">
        <f>IF(K20&lt;&gt;0,K20,0)</f>
        <v>0</v>
      </c>
      <c r="L21" s="144"/>
      <c r="M21" s="144"/>
      <c r="N21" s="144"/>
      <c r="O21" s="144"/>
      <c r="P21" s="145"/>
      <c r="Q21" s="143">
        <f t="shared" si="8"/>
        <v>0</v>
      </c>
      <c r="R21" s="144"/>
      <c r="S21" s="144"/>
      <c r="T21" s="144"/>
      <c r="U21" s="144"/>
      <c r="V21" s="145"/>
      <c r="W21" s="143">
        <f>IF(K21&lt;&gt;0,IF(BP9=10,IF(K21*0.1&gt;=10000,10000,IF(K21*0.1&lt;=2300,2300,ROUND(K21*0.1,0))),IF(BP9=8,IF(K21*0.08&gt;=8000,8000,IF(K21*0.08&lt;=2000,2000,ROUND(K21*0.08,0))),IF(BP9=6,IF(K21*0.06&gt;=6000,6000,IF(K21*0.06&lt;=1500,1500,ROUND(K21*0.06,0))),IF(BP9=4,IF(K21*0.04&gt;=4000,4000,IF(K21*0.04&lt;=1200,1200,ROUND(K21*0.04,0))),0)))),0)</f>
        <v>0</v>
      </c>
      <c r="X21" s="228"/>
      <c r="Y21" s="228"/>
      <c r="Z21" s="228"/>
      <c r="AA21" s="228"/>
      <c r="AB21" s="229"/>
      <c r="AC21" s="143">
        <f t="shared" si="1"/>
        <v>0</v>
      </c>
      <c r="AD21" s="149"/>
      <c r="AE21" s="149"/>
      <c r="AF21" s="149"/>
      <c r="AG21" s="149"/>
      <c r="AH21" s="149"/>
      <c r="AI21" s="150"/>
      <c r="AJ21" s="143">
        <f t="shared" si="4"/>
        <v>0</v>
      </c>
      <c r="AK21" s="144"/>
      <c r="AL21" s="144"/>
      <c r="AM21" s="144"/>
      <c r="AN21" s="144"/>
      <c r="AO21" s="145"/>
      <c r="AP21" s="143">
        <f t="shared" si="2"/>
        <v>0</v>
      </c>
      <c r="AQ21" s="144"/>
      <c r="AR21" s="144"/>
      <c r="AS21" s="144"/>
      <c r="AT21" s="145"/>
      <c r="AU21" s="143">
        <f t="shared" si="5"/>
        <v>0</v>
      </c>
      <c r="AV21" s="144"/>
      <c r="AW21" s="144"/>
      <c r="AX21" s="144"/>
      <c r="AY21" s="145"/>
      <c r="AZ21" s="143">
        <f t="shared" si="6"/>
        <v>0</v>
      </c>
      <c r="BA21" s="144"/>
      <c r="BB21" s="144"/>
      <c r="BC21" s="144"/>
      <c r="BD21" s="145"/>
      <c r="BE21" s="143">
        <f t="shared" si="7"/>
        <v>0</v>
      </c>
      <c r="BF21" s="144"/>
      <c r="BG21" s="144"/>
      <c r="BH21" s="144"/>
      <c r="BI21" s="144"/>
      <c r="BJ21" s="145"/>
      <c r="BQ21" s="116"/>
      <c r="BR21" s="116"/>
      <c r="BS21" s="116"/>
      <c r="BT21" s="116"/>
      <c r="BU21" s="116"/>
      <c r="BV21" s="116"/>
    </row>
    <row r="22" spans="2:74" ht="15" customHeight="1" x14ac:dyDescent="0.35">
      <c r="B22" s="233" t="s">
        <v>26</v>
      </c>
      <c r="C22" s="234"/>
      <c r="D22" s="234"/>
      <c r="E22" s="234"/>
      <c r="F22" s="234"/>
      <c r="G22" s="234"/>
      <c r="H22" s="235">
        <v>2025</v>
      </c>
      <c r="I22" s="235"/>
      <c r="J22" s="236"/>
      <c r="K22" s="143">
        <f>IF('Basic Information'!Q12="January",IF(K12&lt;&gt;0,IF(BP7=10,IF(OR(K12&gt;=182400,MROUND(K12*1.03,100)&gt;=182400),182400,MROUND(K12*1.03,100)),IF(BP7=11,IF(OR(K12&gt;=205500,MROUND(K12*1.03,100)&gt;=205500),205500,MROUND(K12*1.03,100)),IF(BP7=12,IF(OR(K12&gt;=211500,MROUND(K12*1.03,100)&gt;=211500),211500,MROUND(K12*1.03,100)),IF(BP7=13,IF(OR(K12&gt;=217100,MROUND(K12*1.03,100)&gt;=217100),217100,MROUND(K12*1.03,100)),IF(OR(BP7=14,BP7=16),IF(OR(K12&gt;=218200,MROUND(K12*1.03,100)&gt;=218200),218200,MROUND(K12*1.03,100)),IF(BP7=15,IF(OR(K12&gt;=224100,MROUND(K12*1.03,100)&gt;=224100),224100, MROUND(K12*1.03,100)),0)))))),),IF(K21&lt;&gt;0,K21,0))</f>
        <v>0</v>
      </c>
      <c r="L22" s="144"/>
      <c r="M22" s="144"/>
      <c r="N22" s="144"/>
      <c r="O22" s="144"/>
      <c r="P22" s="145"/>
      <c r="Q22" s="143">
        <f t="shared" si="8"/>
        <v>0</v>
      </c>
      <c r="R22" s="144"/>
      <c r="S22" s="144"/>
      <c r="T22" s="144"/>
      <c r="U22" s="144"/>
      <c r="V22" s="145"/>
      <c r="W22" s="143">
        <f>IF(K22&lt;&gt;0,IF(BP9=10,IF(K22*0.1&gt;=10000,10000,IF(K22*0.1&lt;=2300,2300,ROUND(K22*0.1,0))),IF(BP9=8,IF(K22*0.08&gt;=8000,8000,IF(K22*0.08&lt;=2000,2000,ROUND(K22*0.08,0))),IF(BP9=6,IF(K22*0.06&gt;=6000,6000,IF(K22*0.06&lt;=1500,1500,ROUND(K22*0.06,0))),IF(BP9=4,IF(K22*0.04&gt;=4000,4000,IF(K22*0.04&lt;=1200,1200,ROUND(K22*0.04,0))),0)))),0)</f>
        <v>0</v>
      </c>
      <c r="X22" s="228"/>
      <c r="Y22" s="228"/>
      <c r="Z22" s="228"/>
      <c r="AA22" s="228"/>
      <c r="AB22" s="229"/>
      <c r="AC22" s="143">
        <f t="shared" si="1"/>
        <v>0</v>
      </c>
      <c r="AD22" s="149"/>
      <c r="AE22" s="149"/>
      <c r="AF22" s="149"/>
      <c r="AG22" s="149"/>
      <c r="AH22" s="149"/>
      <c r="AI22" s="150"/>
      <c r="AJ22" s="143">
        <f t="shared" si="4"/>
        <v>0</v>
      </c>
      <c r="AK22" s="144"/>
      <c r="AL22" s="144"/>
      <c r="AM22" s="144"/>
      <c r="AN22" s="144"/>
      <c r="AO22" s="145"/>
      <c r="AP22" s="143">
        <f t="shared" si="2"/>
        <v>0</v>
      </c>
      <c r="AQ22" s="144"/>
      <c r="AR22" s="144"/>
      <c r="AS22" s="144"/>
      <c r="AT22" s="145"/>
      <c r="AU22" s="143">
        <f t="shared" si="5"/>
        <v>0</v>
      </c>
      <c r="AV22" s="144"/>
      <c r="AW22" s="144"/>
      <c r="AX22" s="144"/>
      <c r="AY22" s="145"/>
      <c r="AZ22" s="143">
        <f t="shared" si="6"/>
        <v>0</v>
      </c>
      <c r="BA22" s="144"/>
      <c r="BB22" s="144"/>
      <c r="BC22" s="144"/>
      <c r="BD22" s="145"/>
      <c r="BE22" s="143">
        <f t="shared" si="7"/>
        <v>0</v>
      </c>
      <c r="BF22" s="144"/>
      <c r="BG22" s="144"/>
      <c r="BH22" s="144"/>
      <c r="BI22" s="144"/>
      <c r="BJ22" s="145"/>
      <c r="BR22" s="51"/>
      <c r="BS22" s="51"/>
      <c r="BT22" s="51"/>
    </row>
    <row r="23" spans="2:74" ht="15" customHeight="1" x14ac:dyDescent="0.25">
      <c r="B23" s="233" t="s">
        <v>25</v>
      </c>
      <c r="C23" s="234"/>
      <c r="D23" s="234"/>
      <c r="E23" s="234"/>
      <c r="F23" s="234"/>
      <c r="G23" s="234"/>
      <c r="H23" s="235">
        <v>2025</v>
      </c>
      <c r="I23" s="235"/>
      <c r="J23" s="236"/>
      <c r="K23" s="143">
        <f>IF(K22&lt;&gt;0,K22,0)</f>
        <v>0</v>
      </c>
      <c r="L23" s="144"/>
      <c r="M23" s="144"/>
      <c r="N23" s="144"/>
      <c r="O23" s="144"/>
      <c r="P23" s="145"/>
      <c r="Q23" s="143">
        <f t="shared" si="8"/>
        <v>0</v>
      </c>
      <c r="R23" s="144"/>
      <c r="S23" s="144"/>
      <c r="T23" s="144"/>
      <c r="U23" s="144"/>
      <c r="V23" s="145"/>
      <c r="W23" s="143">
        <f>IF(K23&lt;&gt;0,IF(BP9=10,IF(K23*0.1&gt;=10000,10000,IF(K23*0.1&lt;=2300,2300,ROUND(K23*0.1,0))),IF(BP9=8,IF(K23*0.08&gt;=8000,8000,IF(K23*0.08&lt;=2000,2000,ROUND(K23*0.08,0))),IF(BP9=6,IF(K23*0.06&gt;=6000,6000,IF(K23*0.06&lt;=1500,1500,ROUND(K23*0.06,0))),IF(BP9=4,IF(K23*0.04&gt;=4000,4000,IF(K23*0.04&lt;=1200,1200,ROUND(K23*0.04,0))),0)))),0)</f>
        <v>0</v>
      </c>
      <c r="X23" s="228"/>
      <c r="Y23" s="228"/>
      <c r="Z23" s="228"/>
      <c r="AA23" s="228"/>
      <c r="AB23" s="229"/>
      <c r="AC23" s="143">
        <f t="shared" si="1"/>
        <v>0</v>
      </c>
      <c r="AD23" s="149"/>
      <c r="AE23" s="149"/>
      <c r="AF23" s="149"/>
      <c r="AG23" s="149"/>
      <c r="AH23" s="149"/>
      <c r="AI23" s="150"/>
      <c r="AJ23" s="143">
        <f>IF(AJ22&lt;&gt;0,AJ22,0)</f>
        <v>0</v>
      </c>
      <c r="AK23" s="144"/>
      <c r="AL23" s="144"/>
      <c r="AM23" s="144"/>
      <c r="AN23" s="144"/>
      <c r="AO23" s="145"/>
      <c r="AP23" s="143">
        <f t="shared" si="2"/>
        <v>0</v>
      </c>
      <c r="AQ23" s="144"/>
      <c r="AR23" s="144"/>
      <c r="AS23" s="144"/>
      <c r="AT23" s="145"/>
      <c r="AU23" s="143">
        <f t="shared" si="5"/>
        <v>0</v>
      </c>
      <c r="AV23" s="144"/>
      <c r="AW23" s="144"/>
      <c r="AX23" s="144"/>
      <c r="AY23" s="145"/>
      <c r="AZ23" s="143">
        <f t="shared" si="6"/>
        <v>0</v>
      </c>
      <c r="BA23" s="144"/>
      <c r="BB23" s="144"/>
      <c r="BC23" s="144"/>
      <c r="BD23" s="145"/>
      <c r="BE23" s="143">
        <f t="shared" si="7"/>
        <v>0</v>
      </c>
      <c r="BF23" s="144"/>
      <c r="BG23" s="144"/>
      <c r="BH23" s="144"/>
      <c r="BI23" s="144"/>
      <c r="BJ23" s="145"/>
    </row>
    <row r="24" spans="2:74" ht="18" x14ac:dyDescent="0.25">
      <c r="B24" s="221" t="s">
        <v>4</v>
      </c>
      <c r="C24" s="222"/>
      <c r="D24" s="222"/>
      <c r="E24" s="222"/>
      <c r="F24" s="222"/>
      <c r="G24" s="222"/>
      <c r="H24" s="222"/>
      <c r="I24" s="222"/>
      <c r="J24" s="192"/>
      <c r="K24" s="146">
        <f>SUM(K12:K23)</f>
        <v>0</v>
      </c>
      <c r="L24" s="147"/>
      <c r="M24" s="147"/>
      <c r="N24" s="147"/>
      <c r="O24" s="147"/>
      <c r="P24" s="148"/>
      <c r="Q24" s="146">
        <f>SUM(Q12:Q23)</f>
        <v>0</v>
      </c>
      <c r="R24" s="147"/>
      <c r="S24" s="147"/>
      <c r="T24" s="147"/>
      <c r="U24" s="147"/>
      <c r="V24" s="148"/>
      <c r="W24" s="146">
        <f>SUM(W12:W23)</f>
        <v>0</v>
      </c>
      <c r="X24" s="147"/>
      <c r="Y24" s="147">
        <f>SUM(Y12:Y23)</f>
        <v>0</v>
      </c>
      <c r="Z24" s="147"/>
      <c r="AA24" s="147"/>
      <c r="AB24" s="148"/>
      <c r="AC24" s="259">
        <f>SUM(AC12:AC23)</f>
        <v>0</v>
      </c>
      <c r="AD24" s="260"/>
      <c r="AE24" s="260"/>
      <c r="AF24" s="260"/>
      <c r="AG24" s="260"/>
      <c r="AH24" s="260"/>
      <c r="AI24" s="261"/>
      <c r="AJ24" s="238">
        <f>SUM(AJ12:AJ23)</f>
        <v>0</v>
      </c>
      <c r="AK24" s="239"/>
      <c r="AL24" s="239"/>
      <c r="AM24" s="239"/>
      <c r="AN24" s="239"/>
      <c r="AO24" s="240"/>
      <c r="AP24" s="238">
        <f>SUM(AP12:AP23)</f>
        <v>0</v>
      </c>
      <c r="AQ24" s="239"/>
      <c r="AR24" s="239"/>
      <c r="AS24" s="239"/>
      <c r="AT24" s="240"/>
      <c r="AU24" s="146">
        <f>SUM(AU12:AU23)</f>
        <v>0</v>
      </c>
      <c r="AV24" s="147"/>
      <c r="AW24" s="147"/>
      <c r="AX24" s="147"/>
      <c r="AY24" s="148"/>
      <c r="AZ24" s="146">
        <f>SUM(AZ12:AZ23)</f>
        <v>0</v>
      </c>
      <c r="BA24" s="147"/>
      <c r="BB24" s="147"/>
      <c r="BC24" s="147"/>
      <c r="BD24" s="148"/>
      <c r="BE24" s="146">
        <f>SUM(BE12:BE23)</f>
        <v>0</v>
      </c>
      <c r="BF24" s="147"/>
      <c r="BG24" s="147"/>
      <c r="BH24" s="147"/>
      <c r="BI24" s="147"/>
      <c r="BJ24" s="148"/>
      <c r="BR24" s="50"/>
      <c r="BS24" s="52"/>
      <c r="BT24" s="52"/>
      <c r="BU24" s="53"/>
    </row>
    <row r="25" spans="2:74" ht="3.9" customHeight="1" x14ac:dyDescent="0.25">
      <c r="B25" s="20"/>
      <c r="BJ25" s="26"/>
      <c r="BR25" s="53"/>
      <c r="BS25" s="53"/>
      <c r="BT25" s="53"/>
      <c r="BU25" s="53"/>
    </row>
    <row r="26" spans="2:74" ht="15.9" customHeight="1" x14ac:dyDescent="0.25">
      <c r="B26" s="82"/>
      <c r="C26" s="219" t="s">
        <v>182</v>
      </c>
      <c r="D26" s="220"/>
      <c r="E26" s="220"/>
      <c r="F26" s="220"/>
      <c r="G26" s="220"/>
      <c r="H26" s="220"/>
      <c r="I26" s="220"/>
      <c r="J26" s="220"/>
      <c r="K26" s="220"/>
      <c r="L26" s="220"/>
      <c r="M26" s="220"/>
      <c r="N26" s="220"/>
      <c r="O26" s="220"/>
      <c r="P26" s="220"/>
      <c r="Q26" s="220"/>
      <c r="R26" s="220"/>
      <c r="S26" s="220"/>
      <c r="T26" s="220"/>
      <c r="U26" s="81" t="s">
        <v>5</v>
      </c>
      <c r="V26" s="193"/>
      <c r="W26" s="223"/>
      <c r="X26" s="223"/>
      <c r="Y26" s="223"/>
      <c r="Z26" s="223"/>
      <c r="AA26" s="223"/>
      <c r="AB26" s="223"/>
      <c r="AC26" s="223"/>
      <c r="AD26" s="223"/>
      <c r="AE26" s="223"/>
      <c r="AF26" s="271"/>
      <c r="AG26" s="272"/>
      <c r="AH26" s="219" t="s">
        <v>19</v>
      </c>
      <c r="AI26" s="220"/>
      <c r="AJ26" s="220"/>
      <c r="AK26" s="220"/>
      <c r="AL26" s="220"/>
      <c r="AM26" s="220"/>
      <c r="AN26" s="220"/>
      <c r="AO26" s="220"/>
      <c r="AP26" s="220"/>
      <c r="AQ26" s="220"/>
      <c r="AR26" s="220"/>
      <c r="AS26" s="220"/>
      <c r="AT26" s="220"/>
      <c r="AU26" s="220"/>
      <c r="AV26" s="220"/>
      <c r="AW26" s="220"/>
      <c r="AX26" s="220"/>
      <c r="AY26" s="220"/>
      <c r="AZ26" s="81" t="s">
        <v>5</v>
      </c>
      <c r="BA26" s="186">
        <f>IF(OR(AC17&lt;&gt;0,AC18&lt;&gt;0),2750,0)</f>
        <v>0</v>
      </c>
      <c r="BB26" s="237"/>
      <c r="BC26" s="237"/>
      <c r="BD26" s="237"/>
      <c r="BE26" s="237"/>
      <c r="BF26" s="237"/>
      <c r="BG26" s="237"/>
      <c r="BH26" s="237"/>
      <c r="BI26" s="237"/>
      <c r="BJ26" s="237"/>
    </row>
    <row r="27" spans="2:74" ht="3.9" customHeight="1" x14ac:dyDescent="0.25">
      <c r="B27" s="20"/>
      <c r="BJ27" s="26"/>
      <c r="BR27" s="54"/>
      <c r="BS27" s="29"/>
      <c r="BT27" s="29"/>
      <c r="BU27" s="29"/>
      <c r="BV27" s="29"/>
    </row>
    <row r="28" spans="2:74" ht="15.9" customHeight="1" x14ac:dyDescent="0.25">
      <c r="B28" s="82"/>
      <c r="C28" s="219" t="s">
        <v>179</v>
      </c>
      <c r="D28" s="220"/>
      <c r="E28" s="220"/>
      <c r="F28" s="220"/>
      <c r="G28" s="220"/>
      <c r="H28" s="220"/>
      <c r="I28" s="220"/>
      <c r="J28" s="220"/>
      <c r="K28" s="220"/>
      <c r="L28" s="220"/>
      <c r="M28" s="220"/>
      <c r="N28" s="220"/>
      <c r="O28" s="220"/>
      <c r="P28" s="220"/>
      <c r="Q28" s="220"/>
      <c r="R28" s="220"/>
      <c r="S28" s="220"/>
      <c r="T28" s="220"/>
      <c r="U28" s="81" t="s">
        <v>5</v>
      </c>
      <c r="V28" s="193"/>
      <c r="W28" s="223"/>
      <c r="X28" s="223"/>
      <c r="Y28" s="223"/>
      <c r="Z28" s="223"/>
      <c r="AA28" s="223"/>
      <c r="AB28" s="223"/>
      <c r="AC28" s="223"/>
      <c r="AD28" s="223"/>
      <c r="AE28" s="223"/>
      <c r="AF28" s="271"/>
      <c r="AG28" s="272"/>
      <c r="AH28" s="219" t="str">
        <f>IF('Basic Information'!AN12="NPS","Employer's Contribution to NPS","")</f>
        <v/>
      </c>
      <c r="AI28" s="220"/>
      <c r="AJ28" s="220"/>
      <c r="AK28" s="220"/>
      <c r="AL28" s="220"/>
      <c r="AM28" s="220"/>
      <c r="AN28" s="220"/>
      <c r="AO28" s="220"/>
      <c r="AP28" s="220"/>
      <c r="AQ28" s="220"/>
      <c r="AR28" s="220"/>
      <c r="AS28" s="220"/>
      <c r="AT28" s="220"/>
      <c r="AU28" s="220"/>
      <c r="AV28" s="220"/>
      <c r="AW28" s="220"/>
      <c r="AX28" s="220"/>
      <c r="AY28" s="220"/>
      <c r="AZ28" s="81" t="str">
        <f>IF('Basic Information'!AN12="NPS",":","")</f>
        <v/>
      </c>
      <c r="BA28" s="186" t="str">
        <f>IF('Basic Information'!AN12="NPS",SUM(ROUND(SUM(K12,Q12)*0.1,0),ROUND(SUM(K13,Q13)*0.1,0),ROUND(SUM(K14,Q14)*0.1,0),ROUND(SUM(K15,Q15)*0.1,0),ROUND(SUM(K16,Q16)*0.1,0),ROUND(SUM(K17,Q17)*0.1,0),ROUND(SUM(K18,Q18)*0.1,0),ROUND(SUM(K19,Q19)*0.1,0),ROUND(SUM(K20,Q20)*0.1,0),ROUND(SUM(K21,Q21)*0.1,0),ROUND(SUM(K22,Q22)*0.1,0),ROUND(SUM(K23,Q23)*0.1,0)),"")</f>
        <v/>
      </c>
      <c r="BB28" s="237"/>
      <c r="BC28" s="237"/>
      <c r="BD28" s="237"/>
      <c r="BE28" s="237"/>
      <c r="BF28" s="237"/>
      <c r="BG28" s="237"/>
      <c r="BH28" s="237"/>
      <c r="BI28" s="237"/>
      <c r="BJ28" s="237"/>
    </row>
    <row r="29" spans="2:74" ht="3.9" customHeight="1" x14ac:dyDescent="0.25">
      <c r="B29" s="20"/>
      <c r="BJ29" s="26"/>
      <c r="BR29" s="54"/>
      <c r="BS29" s="29"/>
      <c r="BT29" s="29"/>
      <c r="BU29" s="29"/>
      <c r="BV29" s="29"/>
    </row>
    <row r="30" spans="2:74" ht="15.9" customHeight="1" x14ac:dyDescent="0.25">
      <c r="B30" s="20"/>
      <c r="C30" s="219" t="s">
        <v>199</v>
      </c>
      <c r="D30" s="220"/>
      <c r="E30" s="220"/>
      <c r="F30" s="220"/>
      <c r="G30" s="220"/>
      <c r="H30" s="220"/>
      <c r="I30" s="220"/>
      <c r="J30" s="220"/>
      <c r="K30" s="220"/>
      <c r="L30" s="220"/>
      <c r="M30" s="220"/>
      <c r="N30" s="220"/>
      <c r="O30" s="220"/>
      <c r="P30" s="220"/>
      <c r="Q30" s="220"/>
      <c r="R30" s="220"/>
      <c r="S30" s="220"/>
      <c r="T30" s="220"/>
      <c r="U30" s="81" t="s">
        <v>5</v>
      </c>
      <c r="V30" s="193"/>
      <c r="W30" s="223"/>
      <c r="X30" s="223"/>
      <c r="Y30" s="223"/>
      <c r="Z30" s="223"/>
      <c r="AA30" s="223"/>
      <c r="AB30" s="223"/>
      <c r="AC30" s="223"/>
      <c r="AD30" s="223"/>
      <c r="AE30" s="223"/>
      <c r="AF30" s="29"/>
      <c r="AG30" s="92"/>
      <c r="AH30" s="269" t="str">
        <f>IF('Basic Information'!AN12="NPS","NPS Arrear - Employer's Contribution to NPS","")</f>
        <v/>
      </c>
      <c r="AI30" s="270"/>
      <c r="AJ30" s="270"/>
      <c r="AK30" s="270"/>
      <c r="AL30" s="270"/>
      <c r="AM30" s="270"/>
      <c r="AN30" s="270"/>
      <c r="AO30" s="270"/>
      <c r="AP30" s="270"/>
      <c r="AQ30" s="270"/>
      <c r="AR30" s="270"/>
      <c r="AS30" s="270"/>
      <c r="AT30" s="270"/>
      <c r="AU30" s="270"/>
      <c r="AV30" s="270"/>
      <c r="AW30" s="270"/>
      <c r="AX30" s="270"/>
      <c r="AY30" s="270"/>
      <c r="AZ30" s="81" t="str">
        <f>IF('Basic Information'!AN12="NPS",":","")</f>
        <v/>
      </c>
      <c r="BA30" s="193"/>
      <c r="BB30" s="223"/>
      <c r="BC30" s="223"/>
      <c r="BD30" s="223"/>
      <c r="BE30" s="223"/>
      <c r="BF30" s="223"/>
      <c r="BG30" s="223"/>
      <c r="BH30" s="223"/>
      <c r="BI30" s="223"/>
      <c r="BJ30" s="223"/>
    </row>
    <row r="31" spans="2:74" ht="3.9" customHeight="1" x14ac:dyDescent="0.25">
      <c r="B31" s="20"/>
      <c r="BJ31" s="26"/>
      <c r="BR31" s="54"/>
      <c r="BS31" s="29"/>
      <c r="BT31" s="29"/>
      <c r="BU31" s="29"/>
      <c r="BV31" s="29"/>
    </row>
    <row r="32" spans="2:74" ht="14.1" customHeight="1" x14ac:dyDescent="0.25">
      <c r="B32" s="256" t="s">
        <v>89</v>
      </c>
      <c r="C32" s="257"/>
      <c r="D32" s="257"/>
      <c r="E32" s="257"/>
      <c r="F32" s="257"/>
      <c r="G32" s="257"/>
      <c r="H32" s="257"/>
      <c r="I32" s="257"/>
      <c r="J32" s="257"/>
      <c r="K32" s="257"/>
      <c r="L32" s="257"/>
      <c r="M32" s="257"/>
      <c r="N32" s="257"/>
      <c r="O32" s="257"/>
      <c r="P32" s="257"/>
      <c r="Q32" s="257"/>
      <c r="R32" s="257"/>
      <c r="S32" s="257"/>
      <c r="T32" s="257"/>
      <c r="U32" s="258"/>
      <c r="V32" s="15"/>
      <c r="W32" s="15"/>
      <c r="X32" s="37" t="s">
        <v>153</v>
      </c>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44"/>
      <c r="BR32" s="29"/>
      <c r="BS32" s="29"/>
      <c r="BT32" s="29"/>
      <c r="BU32" s="29"/>
      <c r="BV32" s="29"/>
    </row>
    <row r="33" spans="2:74" ht="3.9" customHeight="1" x14ac:dyDescent="0.25">
      <c r="B33" s="20"/>
      <c r="BJ33" s="26"/>
    </row>
    <row r="34" spans="2:74" ht="18" customHeight="1" x14ac:dyDescent="0.25">
      <c r="B34" s="22"/>
      <c r="C34" s="268" t="s">
        <v>90</v>
      </c>
      <c r="D34" s="268"/>
      <c r="E34" s="268"/>
      <c r="F34" s="268"/>
      <c r="G34" s="268"/>
      <c r="H34" s="268"/>
      <c r="I34" s="268"/>
      <c r="J34" s="268"/>
      <c r="K34" s="268"/>
      <c r="L34" s="268"/>
      <c r="M34" s="81" t="s">
        <v>5</v>
      </c>
      <c r="N34" s="265"/>
      <c r="O34" s="266"/>
      <c r="P34" s="266"/>
      <c r="Q34" s="266"/>
      <c r="R34" s="266"/>
      <c r="S34" s="266"/>
      <c r="T34" s="266"/>
      <c r="U34" s="267"/>
      <c r="V34" s="17"/>
      <c r="W34" s="230" t="s">
        <v>201</v>
      </c>
      <c r="X34" s="230"/>
      <c r="Y34" s="230"/>
      <c r="Z34" s="230"/>
      <c r="AA34" s="230"/>
      <c r="AB34" s="230"/>
      <c r="AC34" s="230"/>
      <c r="AD34" s="230"/>
      <c r="AE34" s="230"/>
      <c r="AF34" s="230"/>
      <c r="AG34" s="81" t="s">
        <v>5</v>
      </c>
      <c r="AH34" s="265"/>
      <c r="AI34" s="266"/>
      <c r="AJ34" s="266"/>
      <c r="AK34" s="266"/>
      <c r="AL34" s="266"/>
      <c r="AM34" s="266"/>
      <c r="AN34" s="266"/>
      <c r="AO34" s="267"/>
      <c r="AP34" s="17"/>
      <c r="AQ34" s="230" t="s">
        <v>202</v>
      </c>
      <c r="AR34" s="230"/>
      <c r="AS34" s="230"/>
      <c r="AT34" s="230"/>
      <c r="AU34" s="230"/>
      <c r="AV34" s="230"/>
      <c r="AW34" s="230"/>
      <c r="AX34" s="230"/>
      <c r="AY34" s="230"/>
      <c r="AZ34" s="230"/>
      <c r="BA34" s="195"/>
      <c r="BB34" s="81" t="s">
        <v>5</v>
      </c>
      <c r="BC34" s="265"/>
      <c r="BD34" s="266"/>
      <c r="BE34" s="266"/>
      <c r="BF34" s="266"/>
      <c r="BG34" s="266"/>
      <c r="BH34" s="266"/>
      <c r="BI34" s="266"/>
      <c r="BJ34" s="267"/>
    </row>
    <row r="35" spans="2:74" ht="3.9" customHeight="1" x14ac:dyDescent="0.25">
      <c r="B35" s="20"/>
      <c r="BJ35" s="26"/>
    </row>
    <row r="36" spans="2:74" ht="14.1" customHeight="1" x14ac:dyDescent="0.25">
      <c r="B36" s="194" t="s">
        <v>185</v>
      </c>
      <c r="C36" s="195"/>
      <c r="D36" s="195"/>
      <c r="E36" s="195"/>
      <c r="F36" s="195"/>
      <c r="G36" s="195"/>
      <c r="H36" s="195"/>
      <c r="I36" s="195"/>
      <c r="J36" s="195"/>
      <c r="K36" s="195"/>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195"/>
      <c r="AI36" s="195"/>
      <c r="AJ36" s="195"/>
      <c r="AK36" s="195"/>
      <c r="AL36" s="195"/>
      <c r="AM36" s="195"/>
      <c r="AN36" s="195"/>
      <c r="AO36" s="195"/>
      <c r="AP36" s="195"/>
      <c r="AQ36" s="195"/>
      <c r="AR36" s="195"/>
      <c r="AS36" s="195"/>
      <c r="AT36" s="195"/>
      <c r="AU36" s="81" t="s">
        <v>5</v>
      </c>
      <c r="AV36" s="186">
        <f>IF('Basic Information'!AN12="NPS",SUM(AC24,V26,BA26,V28,BA28,V30,BA30,N34,AH34,BC34),SUM(AC24,V26,BA26,V28,V30,N34,AH34,BC34))</f>
        <v>0</v>
      </c>
      <c r="AW36" s="186"/>
      <c r="AX36" s="186"/>
      <c r="AY36" s="186"/>
      <c r="AZ36" s="186"/>
      <c r="BA36" s="186"/>
      <c r="BB36" s="186"/>
      <c r="BC36" s="186"/>
      <c r="BD36" s="186"/>
      <c r="BE36" s="186"/>
      <c r="BF36" s="186"/>
      <c r="BG36" s="186"/>
      <c r="BH36" s="186"/>
      <c r="BI36" s="186"/>
      <c r="BJ36" s="186"/>
    </row>
    <row r="37" spans="2:74" ht="3.9" customHeight="1" x14ac:dyDescent="0.25">
      <c r="B37" s="20"/>
      <c r="BJ37" s="26"/>
      <c r="BQ37" s="55"/>
      <c r="BR37" s="55"/>
      <c r="BS37" s="55"/>
      <c r="BT37" s="55"/>
      <c r="BU37" s="55"/>
      <c r="BV37" s="55"/>
    </row>
    <row r="38" spans="2:74" ht="14.1" customHeight="1" x14ac:dyDescent="0.25">
      <c r="B38" s="262" t="s">
        <v>178</v>
      </c>
      <c r="C38" s="257"/>
      <c r="D38" s="257"/>
      <c r="E38" s="257"/>
      <c r="F38" s="257"/>
      <c r="G38" s="257"/>
      <c r="H38" s="257"/>
      <c r="I38" s="257"/>
      <c r="J38" s="257"/>
      <c r="K38" s="257"/>
      <c r="L38" s="257"/>
      <c r="M38" s="257"/>
      <c r="N38" s="257"/>
      <c r="O38" s="257"/>
      <c r="P38" s="257"/>
      <c r="Q38" s="257"/>
      <c r="R38" s="257"/>
      <c r="S38" s="257"/>
      <c r="T38" s="257"/>
      <c r="U38" s="258"/>
      <c r="V38" s="263"/>
      <c r="W38" s="263"/>
      <c r="X38" s="263"/>
      <c r="Y38" s="263"/>
      <c r="Z38" s="263"/>
      <c r="AA38" s="263"/>
      <c r="AB38" s="263"/>
      <c r="AC38" s="263"/>
      <c r="AD38" s="263"/>
      <c r="AE38" s="263"/>
      <c r="AF38" s="263"/>
      <c r="AG38" s="263"/>
      <c r="AH38" s="263"/>
      <c r="AI38" s="263"/>
      <c r="AJ38" s="263"/>
      <c r="AK38" s="263"/>
      <c r="AL38" s="263"/>
      <c r="AM38" s="263"/>
      <c r="AN38" s="263"/>
      <c r="AO38" s="263"/>
      <c r="AP38" s="263"/>
      <c r="AQ38" s="263"/>
      <c r="AR38" s="263"/>
      <c r="AS38" s="263"/>
      <c r="AT38" s="263"/>
      <c r="AU38" s="263"/>
      <c r="AV38" s="263"/>
      <c r="AW38" s="263"/>
      <c r="AX38" s="263"/>
      <c r="AY38" s="263"/>
      <c r="AZ38" s="263"/>
      <c r="BA38" s="263"/>
      <c r="BB38" s="263"/>
      <c r="BC38" s="263"/>
      <c r="BD38" s="263"/>
      <c r="BE38" s="263"/>
      <c r="BF38" s="263"/>
      <c r="BG38" s="263"/>
      <c r="BH38" s="263"/>
      <c r="BI38" s="263"/>
      <c r="BJ38" s="264"/>
      <c r="BR38" s="29"/>
      <c r="BS38" s="29"/>
      <c r="BT38" s="29"/>
      <c r="BU38" s="29"/>
      <c r="BV38" s="29"/>
    </row>
    <row r="39" spans="2:74" ht="3.9" customHeight="1" x14ac:dyDescent="0.25">
      <c r="B39" s="20"/>
      <c r="BJ39" s="26"/>
      <c r="BQ39" s="55"/>
      <c r="BR39" s="55"/>
      <c r="BS39" s="55"/>
      <c r="BT39" s="55"/>
      <c r="BU39" s="55"/>
      <c r="BV39" s="55"/>
    </row>
    <row r="40" spans="2:74" ht="14.4" x14ac:dyDescent="0.25">
      <c r="B40" s="20"/>
      <c r="C40" s="171" t="s">
        <v>183</v>
      </c>
      <c r="D40" s="172"/>
      <c r="E40" s="172"/>
      <c r="F40" s="172"/>
      <c r="G40" s="172"/>
      <c r="H40" s="172"/>
      <c r="I40" s="172"/>
      <c r="J40" s="172"/>
      <c r="K40" s="172"/>
      <c r="L40" s="172"/>
      <c r="M40" s="172"/>
      <c r="N40" s="172"/>
      <c r="O40" s="172"/>
      <c r="P40" s="172"/>
      <c r="Q40" s="172"/>
      <c r="R40" s="172"/>
      <c r="S40" s="172"/>
      <c r="T40" s="172"/>
      <c r="U40" s="172"/>
      <c r="V40" s="172"/>
      <c r="W40" s="172"/>
      <c r="X40" s="172"/>
      <c r="Y40" s="172"/>
      <c r="Z40" s="172"/>
      <c r="AA40" s="172"/>
      <c r="AB40" s="172"/>
      <c r="AC40" s="172"/>
      <c r="AD40" s="172"/>
      <c r="AE40" s="172"/>
      <c r="AF40" s="172"/>
      <c r="AG40" s="172"/>
      <c r="AH40" s="172"/>
      <c r="AI40" s="172"/>
      <c r="AJ40" s="173"/>
      <c r="AK40" s="155"/>
      <c r="AL40" s="174"/>
      <c r="AM40" s="174"/>
      <c r="AN40" s="174"/>
      <c r="AO40" s="174"/>
      <c r="AP40" s="174"/>
      <c r="AQ40" s="174"/>
      <c r="AR40" s="174"/>
      <c r="AS40" s="174"/>
      <c r="AT40" s="175"/>
      <c r="AU40" s="81" t="s">
        <v>5</v>
      </c>
      <c r="AV40" s="186">
        <f>IF(AK40&lt;&gt;0,IF(AK40&lt;=V26,AK40,V26),0)</f>
        <v>0</v>
      </c>
      <c r="AW40" s="186"/>
      <c r="AX40" s="186"/>
      <c r="AY40" s="186"/>
      <c r="AZ40" s="186"/>
      <c r="BA40" s="186"/>
      <c r="BB40" s="186"/>
      <c r="BC40" s="186"/>
      <c r="BD40" s="186"/>
      <c r="BE40" s="186"/>
      <c r="BF40" s="186"/>
      <c r="BG40" s="186"/>
      <c r="BH40" s="186"/>
      <c r="BI40" s="186"/>
      <c r="BJ40" s="186"/>
      <c r="BP40" s="35" t="str">
        <f>IF(AND(AK40&lt;&gt;0,V26=0),"Ensure that Leave Travel Concession is included in salary income.","")</f>
        <v/>
      </c>
    </row>
    <row r="41" spans="2:74" ht="3.9" customHeight="1" x14ac:dyDescent="0.25">
      <c r="B41" s="20"/>
      <c r="BJ41" s="26"/>
    </row>
    <row r="42" spans="2:74" ht="14.4" x14ac:dyDescent="0.25">
      <c r="B42" s="20"/>
      <c r="C42" s="171" t="s">
        <v>181</v>
      </c>
      <c r="D42" s="172"/>
      <c r="E42" s="172"/>
      <c r="F42" s="172"/>
      <c r="G42" s="172"/>
      <c r="H42" s="172"/>
      <c r="I42" s="172"/>
      <c r="J42" s="172"/>
      <c r="K42" s="172"/>
      <c r="L42" s="172"/>
      <c r="M42" s="172"/>
      <c r="N42" s="172"/>
      <c r="O42" s="172"/>
      <c r="P42" s="172"/>
      <c r="Q42" s="172"/>
      <c r="R42" s="172"/>
      <c r="S42" s="172"/>
      <c r="T42" s="172"/>
      <c r="U42" s="172"/>
      <c r="V42" s="172"/>
      <c r="W42" s="172"/>
      <c r="X42" s="172"/>
      <c r="Y42" s="172"/>
      <c r="Z42" s="172"/>
      <c r="AA42" s="172"/>
      <c r="AB42" s="172"/>
      <c r="AC42" s="172"/>
      <c r="AD42" s="172"/>
      <c r="AE42" s="172"/>
      <c r="AF42" s="172"/>
      <c r="AG42" s="172"/>
      <c r="AH42" s="172"/>
      <c r="AI42" s="172"/>
      <c r="AJ42" s="173"/>
      <c r="AK42" s="155"/>
      <c r="AL42" s="174"/>
      <c r="AM42" s="174"/>
      <c r="AN42" s="174"/>
      <c r="AO42" s="174"/>
      <c r="AP42" s="174"/>
      <c r="AQ42" s="174"/>
      <c r="AR42" s="174"/>
      <c r="AS42" s="174"/>
      <c r="AT42" s="175"/>
      <c r="AU42" s="81" t="s">
        <v>5</v>
      </c>
      <c r="AV42" s="186">
        <f>IF(AK42&lt;&gt;0,IF(AK42&lt;=V28,AK42,V28),0)</f>
        <v>0</v>
      </c>
      <c r="AW42" s="186"/>
      <c r="AX42" s="186"/>
      <c r="AY42" s="186"/>
      <c r="AZ42" s="186"/>
      <c r="BA42" s="186"/>
      <c r="BB42" s="186"/>
      <c r="BC42" s="186"/>
      <c r="BD42" s="186"/>
      <c r="BE42" s="186"/>
      <c r="BF42" s="186"/>
      <c r="BG42" s="186"/>
      <c r="BH42" s="186"/>
      <c r="BI42" s="186"/>
      <c r="BJ42" s="186"/>
      <c r="BP42" s="35" t="str">
        <f>IF(AND(AK42&lt;&gt;0,V28=0),"Ensure that Earned Leave Encashment is included in salary income.","")</f>
        <v/>
      </c>
    </row>
    <row r="43" spans="2:74" ht="3.9" customHeight="1" x14ac:dyDescent="0.25">
      <c r="B43" s="20"/>
      <c r="BJ43" s="26"/>
      <c r="BP43" s="319" t="str">
        <f>IF(AND(AK44&lt;&gt;0,OR(-AV62&lt;&gt;0,AV93&lt;&gt;0,AV139&lt;&gt;0,AV141&lt;&gt;0)),"You are not eligible for HRA deduction u/s 10(13A), since you have self occupied house property.",IF(AV44&gt;100000,"Please submitt Name, address and permanent account number of the landlord/landlords",IF(AND(AV44&lt;&gt;0,AV44&lt;=100000),"Please ensure to submit FORM NO. 12BB.",IF(AND(AK44&lt;&gt;0,W24=0),"Since you don't have HRA component in your salary, you are not eligible for HRA deduction u/s 10(13A). ",IF(AND(AK44&lt;&gt;0,AK44&lt;=ROUND(0.1*(K24+Q24),0)),"You are not eligible for HRA deduction u/s 10(13A), since the actual rent paid is 10 per cent or less than 10 per cent of your salary.","")))))</f>
        <v/>
      </c>
      <c r="BQ43" s="327"/>
      <c r="BR43" s="327"/>
      <c r="BS43" s="327"/>
      <c r="BT43" s="327"/>
      <c r="BU43" s="327"/>
      <c r="BV43" s="327"/>
    </row>
    <row r="44" spans="2:74" ht="14.4" x14ac:dyDescent="0.25">
      <c r="B44" s="20"/>
      <c r="C44" s="171" t="s">
        <v>174</v>
      </c>
      <c r="D44" s="172"/>
      <c r="E44" s="172"/>
      <c r="F44" s="172"/>
      <c r="G44" s="172"/>
      <c r="H44" s="172"/>
      <c r="I44" s="172"/>
      <c r="J44" s="172"/>
      <c r="K44" s="172"/>
      <c r="L44" s="172"/>
      <c r="M44" s="172"/>
      <c r="N44" s="172"/>
      <c r="O44" s="172"/>
      <c r="P44" s="172"/>
      <c r="Q44" s="172"/>
      <c r="R44" s="172"/>
      <c r="S44" s="172"/>
      <c r="T44" s="172"/>
      <c r="U44" s="172"/>
      <c r="V44" s="172"/>
      <c r="W44" s="172"/>
      <c r="X44" s="172"/>
      <c r="Y44" s="172"/>
      <c r="Z44" s="172"/>
      <c r="AA44" s="172"/>
      <c r="AB44" s="172"/>
      <c r="AC44" s="172"/>
      <c r="AD44" s="172"/>
      <c r="AE44" s="172"/>
      <c r="AF44" s="172"/>
      <c r="AG44" s="172"/>
      <c r="AH44" s="172"/>
      <c r="AI44" s="172"/>
      <c r="AJ44" s="173"/>
      <c r="AK44" s="155"/>
      <c r="AL44" s="174"/>
      <c r="AM44" s="174"/>
      <c r="AN44" s="174"/>
      <c r="AO44" s="174"/>
      <c r="AP44" s="174"/>
      <c r="AQ44" s="174"/>
      <c r="AR44" s="174"/>
      <c r="AS44" s="174"/>
      <c r="AT44" s="175"/>
      <c r="AU44" s="81" t="s">
        <v>5</v>
      </c>
      <c r="AV44" s="186">
        <f>IF(AND(AK44&lt;&gt;0,W24&lt;&gt;0,-AV62=0,AV93=0,AV139=0,AV141=0),MIN(W24,ROUND(0.4*(K24+Q24),0),IF(AK44&gt;ROUND(0.1*(K24+Q24),0),AK44-ROUND(0.1*(K24+Q24),0),0)),0)</f>
        <v>0</v>
      </c>
      <c r="AW44" s="186"/>
      <c r="AX44" s="186"/>
      <c r="AY44" s="186"/>
      <c r="AZ44" s="186"/>
      <c r="BA44" s="186"/>
      <c r="BB44" s="186"/>
      <c r="BC44" s="186"/>
      <c r="BD44" s="186"/>
      <c r="BE44" s="186"/>
      <c r="BF44" s="186"/>
      <c r="BG44" s="186"/>
      <c r="BH44" s="186"/>
      <c r="BI44" s="186"/>
      <c r="BJ44" s="186"/>
      <c r="BP44" s="327"/>
      <c r="BQ44" s="327"/>
      <c r="BR44" s="327"/>
      <c r="BS44" s="327"/>
      <c r="BT44" s="327"/>
      <c r="BU44" s="327"/>
      <c r="BV44" s="327"/>
    </row>
    <row r="45" spans="2:74" ht="3.9" customHeight="1" x14ac:dyDescent="0.25">
      <c r="B45" s="20"/>
      <c r="BJ45" s="26"/>
      <c r="BP45" s="327"/>
      <c r="BQ45" s="327"/>
      <c r="BR45" s="327"/>
      <c r="BS45" s="327"/>
      <c r="BT45" s="327"/>
      <c r="BU45" s="327"/>
      <c r="BV45" s="327"/>
    </row>
    <row r="46" spans="2:74" x14ac:dyDescent="0.25">
      <c r="B46" s="194" t="s">
        <v>175</v>
      </c>
      <c r="C46" s="195"/>
      <c r="D46" s="195"/>
      <c r="E46" s="195"/>
      <c r="F46" s="195"/>
      <c r="G46" s="195"/>
      <c r="H46" s="195"/>
      <c r="I46" s="195"/>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c r="AM46" s="195"/>
      <c r="AN46" s="195"/>
      <c r="AO46" s="195"/>
      <c r="AP46" s="195"/>
      <c r="AQ46" s="195"/>
      <c r="AR46" s="195"/>
      <c r="AS46" s="195"/>
      <c r="AT46" s="195"/>
      <c r="AU46" s="81" t="s">
        <v>5</v>
      </c>
      <c r="AV46" s="186">
        <f>IF(AV36&gt;SUM(AV40,AV42,AV44),AV36-SUM(AV40,AV42,AV44),0)</f>
        <v>0</v>
      </c>
      <c r="AW46" s="186"/>
      <c r="AX46" s="186"/>
      <c r="AY46" s="186"/>
      <c r="AZ46" s="186"/>
      <c r="BA46" s="186"/>
      <c r="BB46" s="186"/>
      <c r="BC46" s="186"/>
      <c r="BD46" s="186"/>
      <c r="BE46" s="186"/>
      <c r="BF46" s="186"/>
      <c r="BG46" s="186"/>
      <c r="BH46" s="186"/>
      <c r="BI46" s="186"/>
      <c r="BJ46" s="186"/>
      <c r="BP46" s="327"/>
      <c r="BQ46" s="327"/>
      <c r="BR46" s="327"/>
      <c r="BS46" s="327"/>
      <c r="BT46" s="327"/>
      <c r="BU46" s="327"/>
      <c r="BV46" s="327"/>
    </row>
    <row r="47" spans="2:74" ht="3.9" customHeight="1" x14ac:dyDescent="0.25">
      <c r="BP47" s="327"/>
      <c r="BQ47" s="327"/>
      <c r="BR47" s="327"/>
      <c r="BS47" s="327"/>
      <c r="BT47" s="327"/>
      <c r="BU47" s="327"/>
      <c r="BV47" s="327"/>
    </row>
    <row r="48" spans="2:74" x14ac:dyDescent="0.25">
      <c r="B48" s="212" t="s">
        <v>91</v>
      </c>
      <c r="C48" s="169"/>
      <c r="D48" s="169"/>
      <c r="E48" s="169"/>
      <c r="F48" s="169"/>
      <c r="G48" s="169"/>
      <c r="H48" s="169"/>
      <c r="I48" s="169"/>
      <c r="J48" s="169"/>
      <c r="K48" s="169"/>
      <c r="L48" s="169"/>
      <c r="M48" s="169"/>
      <c r="N48" s="169"/>
      <c r="O48" s="169"/>
      <c r="P48" s="169"/>
      <c r="Q48" s="169"/>
      <c r="R48" s="169"/>
      <c r="S48" s="169"/>
      <c r="T48" s="169"/>
      <c r="U48" s="169"/>
      <c r="V48" s="169"/>
      <c r="W48" s="169"/>
      <c r="X48" s="169"/>
      <c r="Y48" s="169"/>
      <c r="Z48" s="169"/>
      <c r="AA48" s="169"/>
      <c r="AB48" s="169"/>
      <c r="AC48" s="169"/>
      <c r="AD48" s="169"/>
      <c r="AE48" s="169"/>
      <c r="AF48" s="169"/>
      <c r="AG48" s="169"/>
      <c r="AH48" s="169"/>
      <c r="AI48" s="169"/>
      <c r="AJ48" s="169"/>
      <c r="AK48" s="169"/>
      <c r="AL48" s="169"/>
      <c r="AM48" s="169"/>
      <c r="AN48" s="169"/>
      <c r="AO48" s="169"/>
      <c r="AP48" s="169"/>
      <c r="AQ48" s="169"/>
      <c r="AR48" s="169"/>
      <c r="AS48" s="169"/>
      <c r="AT48" s="169"/>
      <c r="AU48" s="19"/>
      <c r="AV48" s="19"/>
      <c r="AW48" s="19"/>
      <c r="AX48" s="19"/>
      <c r="AY48" s="19"/>
      <c r="AZ48" s="19"/>
      <c r="BA48" s="19"/>
      <c r="BB48" s="19"/>
      <c r="BC48" s="19"/>
      <c r="BD48" s="19"/>
      <c r="BE48" s="19"/>
      <c r="BF48" s="19"/>
      <c r="BG48" s="19"/>
      <c r="BH48" s="19"/>
      <c r="BI48" s="19"/>
      <c r="BJ48" s="45"/>
    </row>
    <row r="49" spans="2:71" ht="3.9" customHeight="1" x14ac:dyDescent="0.25">
      <c r="B49" s="20"/>
      <c r="BJ49" s="26"/>
    </row>
    <row r="50" spans="2:71" x14ac:dyDescent="0.25">
      <c r="B50" s="56"/>
      <c r="C50" s="195" t="s">
        <v>176</v>
      </c>
      <c r="D50" s="195"/>
      <c r="E50" s="195"/>
      <c r="F50" s="195"/>
      <c r="G50" s="195"/>
      <c r="H50" s="195"/>
      <c r="I50" s="195"/>
      <c r="J50" s="195"/>
      <c r="K50" s="195"/>
      <c r="L50" s="195"/>
      <c r="M50" s="195"/>
      <c r="N50" s="195"/>
      <c r="O50" s="195"/>
      <c r="P50" s="195"/>
      <c r="Q50" s="195"/>
      <c r="R50" s="195"/>
      <c r="S50" s="195"/>
      <c r="T50" s="195"/>
      <c r="U50" s="195"/>
      <c r="V50" s="195"/>
      <c r="W50" s="195"/>
      <c r="X50" s="195"/>
      <c r="Y50" s="195"/>
      <c r="Z50" s="195"/>
      <c r="AA50" s="195"/>
      <c r="AB50" s="195"/>
      <c r="AC50" s="195"/>
      <c r="AD50" s="195"/>
      <c r="AE50" s="195"/>
      <c r="AF50" s="195"/>
      <c r="AG50" s="195"/>
      <c r="AH50" s="195"/>
      <c r="AI50" s="195"/>
      <c r="AJ50" s="195"/>
      <c r="AK50" s="195"/>
      <c r="AL50" s="195"/>
      <c r="AM50" s="195"/>
      <c r="AN50" s="195"/>
      <c r="AO50" s="195"/>
      <c r="AP50" s="195"/>
      <c r="AQ50" s="195"/>
      <c r="AR50" s="195"/>
      <c r="AS50" s="195"/>
      <c r="AT50" s="195"/>
      <c r="AU50" s="81" t="s">
        <v>5</v>
      </c>
      <c r="AV50" s="186">
        <f>IF(AV46&lt;50000,AV46,50000)</f>
        <v>0</v>
      </c>
      <c r="AW50" s="186"/>
      <c r="AX50" s="186"/>
      <c r="AY50" s="186"/>
      <c r="AZ50" s="186"/>
      <c r="BA50" s="186"/>
      <c r="BB50" s="186"/>
      <c r="BC50" s="186"/>
      <c r="BD50" s="186"/>
      <c r="BE50" s="186"/>
      <c r="BF50" s="186"/>
      <c r="BG50" s="186"/>
      <c r="BH50" s="186"/>
      <c r="BI50" s="186"/>
      <c r="BJ50" s="186"/>
    </row>
    <row r="51" spans="2:71" ht="3.9" customHeight="1" x14ac:dyDescent="0.25">
      <c r="B51" s="20"/>
      <c r="BJ51" s="26"/>
    </row>
    <row r="52" spans="2:71" x14ac:dyDescent="0.25">
      <c r="B52" s="57"/>
      <c r="C52" s="195" t="s">
        <v>177</v>
      </c>
      <c r="D52" s="195"/>
      <c r="E52" s="195"/>
      <c r="F52" s="195"/>
      <c r="G52" s="195"/>
      <c r="H52" s="195"/>
      <c r="I52" s="195"/>
      <c r="J52" s="195"/>
      <c r="K52" s="195"/>
      <c r="L52" s="195"/>
      <c r="M52" s="195"/>
      <c r="N52" s="195"/>
      <c r="O52" s="195"/>
      <c r="P52" s="195"/>
      <c r="Q52" s="195"/>
      <c r="R52" s="195"/>
      <c r="S52" s="195"/>
      <c r="T52" s="195"/>
      <c r="U52" s="195"/>
      <c r="V52" s="195"/>
      <c r="W52" s="195"/>
      <c r="X52" s="195"/>
      <c r="Y52" s="195"/>
      <c r="Z52" s="195"/>
      <c r="AA52" s="195"/>
      <c r="AB52" s="195"/>
      <c r="AC52" s="195"/>
      <c r="AD52" s="195"/>
      <c r="AE52" s="195"/>
      <c r="AF52" s="195"/>
      <c r="AG52" s="195"/>
      <c r="AH52" s="195"/>
      <c r="AI52" s="195"/>
      <c r="AJ52" s="195"/>
      <c r="AK52" s="195"/>
      <c r="AL52" s="195"/>
      <c r="AM52" s="195"/>
      <c r="AN52" s="195"/>
      <c r="AO52" s="195"/>
      <c r="AP52" s="195"/>
      <c r="AQ52" s="195"/>
      <c r="AR52" s="195"/>
      <c r="AS52" s="195"/>
      <c r="AT52" s="195"/>
      <c r="AU52" s="81" t="s">
        <v>5</v>
      </c>
      <c r="AV52" s="186">
        <f>IF(AC24&lt;&gt;0,SUM(BQ52,BS52),0)</f>
        <v>0</v>
      </c>
      <c r="AW52" s="186"/>
      <c r="AX52" s="186"/>
      <c r="AY52" s="186"/>
      <c r="AZ52" s="186"/>
      <c r="BA52" s="186"/>
      <c r="BB52" s="186"/>
      <c r="BC52" s="186"/>
      <c r="BD52" s="186"/>
      <c r="BE52" s="186"/>
      <c r="BF52" s="186"/>
      <c r="BG52" s="186"/>
      <c r="BH52" s="186"/>
      <c r="BI52" s="186"/>
      <c r="BJ52" s="186"/>
      <c r="BP52" s="43">
        <f>SUM(AC12,AC13,AC14,AC15,AC16,AC17)</f>
        <v>0</v>
      </c>
      <c r="BQ52" s="43">
        <f>IF(BP52&lt;12000,0,IF(AND(BP52&gt;=12000,BP52&lt;18000),120,IF(AND(BP52&gt;=18000,BP52&lt;30000),180,IF(AND(BP52&gt;=30000,BP52&lt;45000),300,IF(AND(BP52&gt;=45000,BP52&lt;60000),450,IF(AND(BP52&gt;=60000,BP52&lt;75000),600,IF(AND(BP52&gt;=75000,BP52&lt;100000),750,IF(AND(BP52&gt;=100000,BP52&lt;125000),1000,1250))))))))</f>
        <v>0</v>
      </c>
      <c r="BR52" s="43">
        <f>SUM(AC18,AC19,AC20,AC21,AC22,AC23)</f>
        <v>0</v>
      </c>
      <c r="BS52" s="43">
        <f>IF(BR52&lt;12000,0,IF(AND(BR52&gt;=12000,BR52&lt;18000),120,IF(AND(BR52&gt;=18000,BR52&lt;30000),180,IF(AND(BR52&gt;=30000,BR52&lt;45000),300,IF(AND(BR52&gt;=45000,BR52&lt;60000),450,IF(AND(BR52&gt;=60000,BR52&lt;75000),600,IF(AND(BR52&gt;=75000,BR52&lt;100000),750,IF(AND(BR52&gt;=100000,BR52&lt;125000),1000,1250))))))))</f>
        <v>0</v>
      </c>
    </row>
    <row r="53" spans="2:71" ht="3.9" customHeight="1" x14ac:dyDescent="0.25">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row>
    <row r="54" spans="2:71" x14ac:dyDescent="0.25">
      <c r="B54" s="194" t="s">
        <v>173</v>
      </c>
      <c r="C54" s="195"/>
      <c r="D54" s="195"/>
      <c r="E54" s="195"/>
      <c r="F54" s="195"/>
      <c r="G54" s="195"/>
      <c r="H54" s="195"/>
      <c r="I54" s="195"/>
      <c r="J54" s="195"/>
      <c r="K54" s="195"/>
      <c r="L54" s="195"/>
      <c r="M54" s="195"/>
      <c r="N54" s="195"/>
      <c r="O54" s="195"/>
      <c r="P54" s="195"/>
      <c r="Q54" s="195"/>
      <c r="R54" s="195"/>
      <c r="S54" s="195"/>
      <c r="T54" s="195"/>
      <c r="U54" s="195"/>
      <c r="V54" s="195"/>
      <c r="W54" s="195"/>
      <c r="X54" s="195"/>
      <c r="Y54" s="195"/>
      <c r="Z54" s="195"/>
      <c r="AA54" s="195"/>
      <c r="AB54" s="195"/>
      <c r="AC54" s="195"/>
      <c r="AD54" s="195"/>
      <c r="AE54" s="195"/>
      <c r="AF54" s="195"/>
      <c r="AG54" s="195"/>
      <c r="AH54" s="195"/>
      <c r="AI54" s="195"/>
      <c r="AJ54" s="195"/>
      <c r="AK54" s="195"/>
      <c r="AL54" s="195"/>
      <c r="AM54" s="195"/>
      <c r="AN54" s="195"/>
      <c r="AO54" s="195"/>
      <c r="AP54" s="195"/>
      <c r="AQ54" s="195"/>
      <c r="AR54" s="195"/>
      <c r="AS54" s="195"/>
      <c r="AT54" s="195"/>
      <c r="AU54" s="81" t="s">
        <v>5</v>
      </c>
      <c r="AV54" s="186">
        <f>AV46-SUM(AV50,AV52)</f>
        <v>0</v>
      </c>
      <c r="AW54" s="186"/>
      <c r="AX54" s="186"/>
      <c r="AY54" s="186"/>
      <c r="AZ54" s="186"/>
      <c r="BA54" s="186"/>
      <c r="BB54" s="186"/>
      <c r="BC54" s="186"/>
      <c r="BD54" s="186"/>
      <c r="BE54" s="186"/>
      <c r="BF54" s="186"/>
      <c r="BG54" s="186"/>
      <c r="BH54" s="186"/>
      <c r="BI54" s="186"/>
      <c r="BJ54" s="186"/>
    </row>
    <row r="55" spans="2:71" ht="3.9" customHeight="1" x14ac:dyDescent="0.25"/>
    <row r="56" spans="2:71" x14ac:dyDescent="0.25">
      <c r="B56" s="231" t="s">
        <v>92</v>
      </c>
      <c r="C56" s="232"/>
      <c r="D56" s="232"/>
      <c r="E56" s="232"/>
      <c r="F56" s="232"/>
      <c r="G56" s="232"/>
      <c r="H56" s="232"/>
      <c r="I56" s="232"/>
      <c r="J56" s="232"/>
      <c r="K56" s="232"/>
      <c r="L56" s="232"/>
      <c r="M56" s="232"/>
      <c r="N56" s="232"/>
      <c r="O56" s="232"/>
      <c r="P56" s="232"/>
      <c r="Q56" s="232"/>
      <c r="R56" s="232"/>
      <c r="S56" s="232"/>
      <c r="T56" s="232"/>
      <c r="U56" s="232"/>
      <c r="V56" s="232"/>
      <c r="W56" s="232"/>
      <c r="X56" s="232"/>
      <c r="Y56" s="232"/>
      <c r="Z56" s="232"/>
      <c r="AA56" s="232"/>
      <c r="AB56" s="232"/>
      <c r="AC56" s="232"/>
      <c r="AD56" s="232"/>
      <c r="AE56" s="232"/>
      <c r="AF56" s="232"/>
      <c r="AG56" s="232"/>
      <c r="AH56" s="232"/>
      <c r="AI56" s="232"/>
      <c r="AJ56" s="232"/>
      <c r="AK56" s="232"/>
      <c r="AL56" s="232"/>
      <c r="AM56" s="232"/>
      <c r="AN56" s="232"/>
      <c r="AO56" s="232"/>
      <c r="AP56" s="232"/>
      <c r="AQ56" s="232"/>
      <c r="AR56" s="232"/>
      <c r="AS56" s="232"/>
      <c r="AT56" s="232"/>
      <c r="AU56" s="15"/>
      <c r="AV56" s="15"/>
      <c r="AW56" s="15"/>
      <c r="AX56" s="15"/>
      <c r="AY56" s="15"/>
      <c r="AZ56" s="15"/>
      <c r="BA56" s="15"/>
      <c r="BB56" s="15"/>
      <c r="BC56" s="15"/>
      <c r="BD56" s="15"/>
      <c r="BE56" s="15"/>
      <c r="BF56" s="15"/>
      <c r="BG56" s="15"/>
      <c r="BH56" s="15"/>
      <c r="BI56" s="15"/>
      <c r="BJ56" s="44"/>
    </row>
    <row r="57" spans="2:71" ht="3.9" customHeight="1" x14ac:dyDescent="0.25">
      <c r="B57" s="20"/>
      <c r="BJ57" s="26"/>
    </row>
    <row r="58" spans="2:71" ht="26.1" customHeight="1" x14ac:dyDescent="0.25">
      <c r="B58" s="20"/>
      <c r="C58" s="230" t="s">
        <v>94</v>
      </c>
      <c r="D58" s="230"/>
      <c r="E58" s="230"/>
      <c r="F58" s="230"/>
      <c r="G58" s="230"/>
      <c r="H58" s="230"/>
      <c r="I58" s="230"/>
      <c r="J58" s="230"/>
      <c r="K58" s="230"/>
      <c r="L58" s="230"/>
      <c r="M58" s="230"/>
      <c r="N58" s="230"/>
      <c r="O58" s="230"/>
      <c r="P58" s="230"/>
      <c r="Q58" s="230"/>
      <c r="R58" s="230"/>
      <c r="S58" s="230"/>
      <c r="T58" s="230"/>
      <c r="U58" s="230"/>
      <c r="V58" s="230"/>
      <c r="W58" s="230"/>
      <c r="X58" s="230"/>
      <c r="Y58" s="230"/>
      <c r="Z58" s="230"/>
      <c r="AA58" s="230"/>
      <c r="AB58" s="230"/>
      <c r="AC58" s="230"/>
      <c r="AD58" s="230"/>
      <c r="AE58" s="230"/>
      <c r="AF58" s="230"/>
      <c r="AG58" s="230"/>
      <c r="AH58" s="230"/>
      <c r="AI58" s="230"/>
      <c r="AJ58" s="273" t="s">
        <v>45</v>
      </c>
      <c r="AK58" s="274"/>
      <c r="AL58" s="274"/>
      <c r="AM58" s="274"/>
      <c r="AN58" s="274"/>
      <c r="AO58" s="274"/>
      <c r="AP58" s="274"/>
      <c r="AQ58" s="274"/>
      <c r="BJ58" s="26"/>
      <c r="BL58" s="35" t="str">
        <f>IF(AND(NOT(ISBLANK(AV60)), OR(ISBLANK(AJ58),AJ58="SELECT")),"Please answer the question related to House Property.","")</f>
        <v/>
      </c>
    </row>
    <row r="59" spans="2:71" ht="3.9" customHeight="1" x14ac:dyDescent="0.25">
      <c r="B59" s="20"/>
      <c r="BJ59" s="26"/>
    </row>
    <row r="60" spans="2:71" x14ac:dyDescent="0.25">
      <c r="B60" s="20"/>
      <c r="C60" s="195" t="s">
        <v>140</v>
      </c>
      <c r="D60" s="195"/>
      <c r="E60" s="195"/>
      <c r="F60" s="195"/>
      <c r="G60" s="195"/>
      <c r="H60" s="195"/>
      <c r="I60" s="195"/>
      <c r="J60" s="195"/>
      <c r="K60" s="195"/>
      <c r="L60" s="195"/>
      <c r="M60" s="195"/>
      <c r="N60" s="195"/>
      <c r="O60" s="195"/>
      <c r="P60" s="195"/>
      <c r="Q60" s="195"/>
      <c r="R60" s="195"/>
      <c r="S60" s="195"/>
      <c r="T60" s="195"/>
      <c r="U60" s="195"/>
      <c r="V60" s="195"/>
      <c r="W60" s="195"/>
      <c r="X60" s="195"/>
      <c r="Y60" s="195"/>
      <c r="Z60" s="195"/>
      <c r="AA60" s="195"/>
      <c r="AB60" s="195"/>
      <c r="AC60" s="195"/>
      <c r="AD60" s="195"/>
      <c r="AE60" s="195"/>
      <c r="AF60" s="195"/>
      <c r="AG60" s="195"/>
      <c r="AH60" s="195"/>
      <c r="AI60" s="195"/>
      <c r="AJ60" s="195"/>
      <c r="AK60" s="195"/>
      <c r="AL60" s="195"/>
      <c r="AM60" s="195"/>
      <c r="AN60" s="195"/>
      <c r="AO60" s="195"/>
      <c r="AP60" s="195"/>
      <c r="AQ60" s="195"/>
      <c r="AR60" s="195"/>
      <c r="AS60" s="195"/>
      <c r="AT60" s="195"/>
      <c r="AU60" s="81" t="s">
        <v>5</v>
      </c>
      <c r="AV60" s="193"/>
      <c r="AW60" s="193"/>
      <c r="AX60" s="193"/>
      <c r="AY60" s="193"/>
      <c r="AZ60" s="193"/>
      <c r="BA60" s="193"/>
      <c r="BB60" s="193"/>
      <c r="BC60" s="193"/>
      <c r="BD60" s="193"/>
      <c r="BE60" s="193"/>
      <c r="BF60" s="193"/>
      <c r="BG60" s="193"/>
      <c r="BH60" s="193"/>
      <c r="BI60" s="193"/>
      <c r="BJ60" s="193"/>
      <c r="BR60" s="46"/>
    </row>
    <row r="61" spans="2:71" ht="3.9" customHeight="1" x14ac:dyDescent="0.25">
      <c r="B61" s="20"/>
      <c r="BJ61" s="26"/>
    </row>
    <row r="62" spans="2:71" x14ac:dyDescent="0.25">
      <c r="B62" s="22"/>
      <c r="C62" s="194" t="s">
        <v>93</v>
      </c>
      <c r="D62" s="194"/>
      <c r="E62" s="194"/>
      <c r="F62" s="194"/>
      <c r="G62" s="194"/>
      <c r="H62" s="194"/>
      <c r="I62" s="194"/>
      <c r="J62" s="194"/>
      <c r="K62" s="194"/>
      <c r="L62" s="194"/>
      <c r="M62" s="194"/>
      <c r="N62" s="194"/>
      <c r="O62" s="194"/>
      <c r="P62" s="194"/>
      <c r="Q62" s="194"/>
      <c r="R62" s="194"/>
      <c r="S62" s="194"/>
      <c r="T62" s="194"/>
      <c r="U62" s="194"/>
      <c r="V62" s="194"/>
      <c r="W62" s="194"/>
      <c r="X62" s="194"/>
      <c r="Y62" s="194"/>
      <c r="Z62" s="194"/>
      <c r="AA62" s="194"/>
      <c r="AB62" s="194"/>
      <c r="AC62" s="194"/>
      <c r="AD62" s="194"/>
      <c r="AE62" s="194"/>
      <c r="AF62" s="194"/>
      <c r="AG62" s="194"/>
      <c r="AH62" s="194"/>
      <c r="AI62" s="194"/>
      <c r="AJ62" s="194"/>
      <c r="AK62" s="194"/>
      <c r="AL62" s="194"/>
      <c r="AM62" s="194"/>
      <c r="AN62" s="194"/>
      <c r="AO62" s="194"/>
      <c r="AP62" s="194"/>
      <c r="AQ62" s="194"/>
      <c r="AR62" s="194"/>
      <c r="AS62" s="194"/>
      <c r="AT62" s="194"/>
      <c r="AU62" s="81" t="s">
        <v>5</v>
      </c>
      <c r="AV62" s="186">
        <f>IF(AJ58="Select",0,IF(AJ58="Yes",IF(AV60&lt;=200000,-AV60,-200000),IF(AV60&lt;=30000,-AV60,-30000)))</f>
        <v>0</v>
      </c>
      <c r="AW62" s="186"/>
      <c r="AX62" s="186"/>
      <c r="AY62" s="186"/>
      <c r="AZ62" s="186"/>
      <c r="BA62" s="186"/>
      <c r="BB62" s="186"/>
      <c r="BC62" s="186"/>
      <c r="BD62" s="186"/>
      <c r="BE62" s="186"/>
      <c r="BF62" s="186"/>
      <c r="BG62" s="186"/>
      <c r="BH62" s="186"/>
      <c r="BI62" s="186"/>
      <c r="BJ62" s="186"/>
    </row>
    <row r="63" spans="2:71" ht="3.9" customHeight="1" x14ac:dyDescent="0.25">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7"/>
    </row>
    <row r="64" spans="2:71" x14ac:dyDescent="0.25">
      <c r="B64" s="231" t="s">
        <v>95</v>
      </c>
      <c r="C64" s="232"/>
      <c r="D64" s="232"/>
      <c r="E64" s="232"/>
      <c r="F64" s="232"/>
      <c r="G64" s="232"/>
      <c r="H64" s="232"/>
      <c r="I64" s="232"/>
      <c r="J64" s="232"/>
      <c r="K64" s="232"/>
      <c r="L64" s="232"/>
      <c r="M64" s="232"/>
      <c r="N64" s="232"/>
      <c r="O64" s="232"/>
      <c r="P64" s="232"/>
      <c r="Q64" s="232"/>
      <c r="R64" s="232"/>
      <c r="S64" s="232"/>
      <c r="T64" s="232"/>
      <c r="U64" s="232"/>
      <c r="V64" s="232"/>
      <c r="W64" s="232"/>
      <c r="X64" s="232"/>
      <c r="Y64" s="232"/>
      <c r="Z64" s="232"/>
      <c r="AA64" s="232"/>
      <c r="AB64" s="232"/>
      <c r="AC64" s="232"/>
      <c r="AD64" s="232"/>
      <c r="AE64" s="232"/>
      <c r="AF64" s="232"/>
      <c r="AG64" s="232"/>
      <c r="AH64" s="232"/>
      <c r="AI64" s="232"/>
      <c r="AJ64" s="232"/>
      <c r="AK64" s="232"/>
      <c r="AL64" s="232"/>
      <c r="AM64" s="232"/>
      <c r="AN64" s="232"/>
      <c r="AO64" s="232"/>
      <c r="AP64" s="232"/>
      <c r="AQ64" s="232"/>
      <c r="AR64" s="232"/>
      <c r="AS64" s="232"/>
      <c r="AT64" s="232"/>
      <c r="AU64" s="15"/>
      <c r="AV64" s="15"/>
      <c r="AW64" s="15"/>
      <c r="AX64" s="15"/>
      <c r="AY64" s="15"/>
      <c r="AZ64" s="15"/>
      <c r="BA64" s="15"/>
      <c r="BB64" s="15"/>
      <c r="BC64" s="15"/>
      <c r="BD64" s="15"/>
      <c r="BE64" s="15"/>
      <c r="BF64" s="15"/>
      <c r="BG64" s="15"/>
      <c r="BH64" s="15"/>
      <c r="BI64" s="15"/>
      <c r="BJ64" s="44"/>
    </row>
    <row r="65" spans="2:75" ht="3.9" customHeight="1" x14ac:dyDescent="0.25">
      <c r="B65" s="20"/>
      <c r="BJ65" s="26"/>
    </row>
    <row r="66" spans="2:75" x14ac:dyDescent="0.25">
      <c r="B66" s="20"/>
      <c r="C66" s="195" t="s">
        <v>154</v>
      </c>
      <c r="D66" s="195"/>
      <c r="E66" s="195"/>
      <c r="F66" s="195"/>
      <c r="G66" s="195"/>
      <c r="H66" s="195"/>
      <c r="I66" s="195"/>
      <c r="J66" s="195"/>
      <c r="K66" s="195"/>
      <c r="L66" s="195"/>
      <c r="M66" s="195"/>
      <c r="N66" s="195"/>
      <c r="O66" s="195"/>
      <c r="P66" s="195"/>
      <c r="Q66" s="195"/>
      <c r="R66" s="195"/>
      <c r="S66" s="195"/>
      <c r="T66" s="195"/>
      <c r="U66" s="195"/>
      <c r="V66" s="195"/>
      <c r="W66" s="195"/>
      <c r="X66" s="195"/>
      <c r="Y66" s="195"/>
      <c r="Z66" s="195"/>
      <c r="AA66" s="195"/>
      <c r="AB66" s="195"/>
      <c r="AC66" s="195"/>
      <c r="AD66" s="195"/>
      <c r="AE66" s="195"/>
      <c r="AF66" s="195"/>
      <c r="AG66" s="195"/>
      <c r="AH66" s="195"/>
      <c r="AI66" s="195"/>
      <c r="AJ66" s="195"/>
      <c r="AK66" s="195"/>
      <c r="AL66" s="195"/>
      <c r="AM66" s="195"/>
      <c r="AN66" s="195"/>
      <c r="AO66" s="195"/>
      <c r="AP66" s="195"/>
      <c r="AQ66" s="195"/>
      <c r="AR66" s="195"/>
      <c r="AS66" s="195"/>
      <c r="AT66" s="195"/>
      <c r="AU66" s="81" t="s">
        <v>5</v>
      </c>
      <c r="AV66" s="193"/>
      <c r="AW66" s="193"/>
      <c r="AX66" s="193"/>
      <c r="AY66" s="193"/>
      <c r="AZ66" s="193"/>
      <c r="BA66" s="193"/>
      <c r="BB66" s="193"/>
      <c r="BC66" s="193"/>
      <c r="BD66" s="193"/>
      <c r="BE66" s="193"/>
      <c r="BF66" s="193"/>
      <c r="BG66" s="193"/>
      <c r="BH66" s="193"/>
      <c r="BI66" s="193"/>
      <c r="BJ66" s="193"/>
    </row>
    <row r="67" spans="2:75" ht="3.9" customHeight="1" x14ac:dyDescent="0.25">
      <c r="B67" s="20"/>
      <c r="BJ67" s="26"/>
    </row>
    <row r="68" spans="2:75" x14ac:dyDescent="0.25">
      <c r="B68" s="20"/>
      <c r="C68" s="195" t="s">
        <v>155</v>
      </c>
      <c r="D68" s="195"/>
      <c r="E68" s="195"/>
      <c r="F68" s="195"/>
      <c r="G68" s="195"/>
      <c r="H68" s="195"/>
      <c r="I68" s="195"/>
      <c r="J68" s="195"/>
      <c r="K68" s="195"/>
      <c r="L68" s="195"/>
      <c r="M68" s="195"/>
      <c r="N68" s="195"/>
      <c r="O68" s="195"/>
      <c r="P68" s="195"/>
      <c r="Q68" s="195"/>
      <c r="R68" s="195"/>
      <c r="S68" s="195"/>
      <c r="T68" s="195"/>
      <c r="U68" s="195"/>
      <c r="V68" s="195"/>
      <c r="W68" s="195"/>
      <c r="X68" s="195"/>
      <c r="Y68" s="195"/>
      <c r="Z68" s="195"/>
      <c r="AA68" s="195"/>
      <c r="AB68" s="195"/>
      <c r="AC68" s="195"/>
      <c r="AD68" s="195"/>
      <c r="AE68" s="195"/>
      <c r="AF68" s="195"/>
      <c r="AG68" s="195"/>
      <c r="AH68" s="195"/>
      <c r="AI68" s="195"/>
      <c r="AJ68" s="195"/>
      <c r="AK68" s="195"/>
      <c r="AL68" s="195"/>
      <c r="AM68" s="195"/>
      <c r="AN68" s="195"/>
      <c r="AO68" s="195"/>
      <c r="AP68" s="195"/>
      <c r="AQ68" s="195"/>
      <c r="AR68" s="195"/>
      <c r="AS68" s="195"/>
      <c r="AT68" s="195"/>
      <c r="AU68" s="81" t="s">
        <v>5</v>
      </c>
      <c r="AV68" s="193"/>
      <c r="AW68" s="193"/>
      <c r="AX68" s="193"/>
      <c r="AY68" s="193"/>
      <c r="AZ68" s="193"/>
      <c r="BA68" s="193"/>
      <c r="BB68" s="193"/>
      <c r="BC68" s="193"/>
      <c r="BD68" s="193"/>
      <c r="BE68" s="193"/>
      <c r="BF68" s="193"/>
      <c r="BG68" s="193"/>
      <c r="BH68" s="193"/>
      <c r="BI68" s="193"/>
      <c r="BJ68" s="193"/>
    </row>
    <row r="69" spans="2:75" ht="3.9" customHeight="1" x14ac:dyDescent="0.25">
      <c r="B69" s="20"/>
      <c r="BJ69" s="26"/>
    </row>
    <row r="70" spans="2:75" x14ac:dyDescent="0.25">
      <c r="B70" s="20"/>
      <c r="C70" s="195" t="s">
        <v>96</v>
      </c>
      <c r="D70" s="195"/>
      <c r="E70" s="195"/>
      <c r="F70" s="195"/>
      <c r="G70" s="195"/>
      <c r="H70" s="195"/>
      <c r="I70" s="195"/>
      <c r="J70" s="195"/>
      <c r="K70" s="195"/>
      <c r="L70" s="195"/>
      <c r="M70" s="195"/>
      <c r="N70" s="195"/>
      <c r="O70" s="195"/>
      <c r="P70" s="195"/>
      <c r="Q70" s="195"/>
      <c r="R70" s="195"/>
      <c r="S70" s="195"/>
      <c r="T70" s="195"/>
      <c r="U70" s="195"/>
      <c r="V70" s="195"/>
      <c r="W70" s="195"/>
      <c r="X70" s="195"/>
      <c r="Y70" s="195"/>
      <c r="Z70" s="195"/>
      <c r="AA70" s="195"/>
      <c r="AB70" s="195"/>
      <c r="AC70" s="195"/>
      <c r="AD70" s="195"/>
      <c r="AE70" s="195"/>
      <c r="AF70" s="195"/>
      <c r="AG70" s="195"/>
      <c r="AH70" s="195"/>
      <c r="AI70" s="195"/>
      <c r="AJ70" s="195"/>
      <c r="AK70" s="195"/>
      <c r="AL70" s="195"/>
      <c r="AM70" s="195"/>
      <c r="AN70" s="195"/>
      <c r="AO70" s="195"/>
      <c r="AP70" s="195"/>
      <c r="AQ70" s="195"/>
      <c r="AR70" s="195"/>
      <c r="AS70" s="195"/>
      <c r="AT70" s="195"/>
      <c r="AU70" s="81" t="s">
        <v>5</v>
      </c>
      <c r="AV70" s="193"/>
      <c r="AW70" s="193"/>
      <c r="AX70" s="193"/>
      <c r="AY70" s="193"/>
      <c r="AZ70" s="193"/>
      <c r="BA70" s="193"/>
      <c r="BB70" s="193"/>
      <c r="BC70" s="193"/>
      <c r="BD70" s="193"/>
      <c r="BE70" s="193"/>
      <c r="BF70" s="193"/>
      <c r="BG70" s="193"/>
      <c r="BH70" s="193"/>
      <c r="BI70" s="193"/>
      <c r="BJ70" s="193"/>
    </row>
    <row r="71" spans="2:75" ht="3.9" customHeight="1" x14ac:dyDescent="0.25">
      <c r="B71" s="20"/>
      <c r="BJ71" s="26"/>
    </row>
    <row r="72" spans="2:75" x14ac:dyDescent="0.25">
      <c r="B72" s="22"/>
      <c r="C72" s="195" t="s">
        <v>97</v>
      </c>
      <c r="D72" s="195"/>
      <c r="E72" s="195"/>
      <c r="F72" s="195"/>
      <c r="G72" s="195"/>
      <c r="H72" s="195"/>
      <c r="I72" s="195"/>
      <c r="J72" s="195"/>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5"/>
      <c r="AK72" s="195"/>
      <c r="AL72" s="195"/>
      <c r="AM72" s="195"/>
      <c r="AN72" s="195"/>
      <c r="AO72" s="195"/>
      <c r="AP72" s="195"/>
      <c r="AQ72" s="195"/>
      <c r="AR72" s="195"/>
      <c r="AS72" s="195"/>
      <c r="AT72" s="195"/>
      <c r="AU72" s="81" t="s">
        <v>5</v>
      </c>
      <c r="AV72" s="193"/>
      <c r="AW72" s="193"/>
      <c r="AX72" s="193"/>
      <c r="AY72" s="193"/>
      <c r="AZ72" s="193"/>
      <c r="BA72" s="193"/>
      <c r="BB72" s="193"/>
      <c r="BC72" s="193"/>
      <c r="BD72" s="193"/>
      <c r="BE72" s="193"/>
      <c r="BF72" s="193"/>
      <c r="BG72" s="193"/>
      <c r="BH72" s="193"/>
      <c r="BI72" s="193"/>
      <c r="BJ72" s="193"/>
    </row>
    <row r="73" spans="2:75" ht="3.9" customHeight="1" x14ac:dyDescent="0.25"/>
    <row r="74" spans="2:75" ht="18" customHeight="1" x14ac:dyDescent="0.25">
      <c r="B74" s="194" t="s">
        <v>186</v>
      </c>
      <c r="C74" s="195"/>
      <c r="D74" s="195"/>
      <c r="E74" s="195"/>
      <c r="F74" s="195"/>
      <c r="G74" s="195"/>
      <c r="H74" s="195"/>
      <c r="I74" s="195"/>
      <c r="J74" s="195"/>
      <c r="K74" s="195"/>
      <c r="L74" s="195"/>
      <c r="M74" s="195"/>
      <c r="N74" s="195"/>
      <c r="O74" s="195"/>
      <c r="P74" s="195"/>
      <c r="Q74" s="195"/>
      <c r="R74" s="195"/>
      <c r="S74" s="195"/>
      <c r="T74" s="195"/>
      <c r="U74" s="195"/>
      <c r="V74" s="195"/>
      <c r="W74" s="195"/>
      <c r="X74" s="195"/>
      <c r="Y74" s="195"/>
      <c r="Z74" s="195"/>
      <c r="AA74" s="195"/>
      <c r="AB74" s="195"/>
      <c r="AC74" s="195"/>
      <c r="AD74" s="195"/>
      <c r="AE74" s="195"/>
      <c r="AF74" s="195"/>
      <c r="AG74" s="195"/>
      <c r="AH74" s="195"/>
      <c r="AI74" s="195"/>
      <c r="AJ74" s="195"/>
      <c r="AK74" s="195"/>
      <c r="AL74" s="195"/>
      <c r="AM74" s="195"/>
      <c r="AN74" s="195"/>
      <c r="AO74" s="195"/>
      <c r="AP74" s="195"/>
      <c r="AQ74" s="195"/>
      <c r="AR74" s="195"/>
      <c r="AS74" s="195"/>
      <c r="AT74" s="195"/>
      <c r="AU74" s="81" t="s">
        <v>5</v>
      </c>
      <c r="AV74" s="186">
        <f>SUM(AV54,AV62,AV66,AV68,AV70,AV72)</f>
        <v>0</v>
      </c>
      <c r="AW74" s="186"/>
      <c r="AX74" s="186"/>
      <c r="AY74" s="186"/>
      <c r="AZ74" s="186"/>
      <c r="BA74" s="186"/>
      <c r="BB74" s="186"/>
      <c r="BC74" s="186"/>
      <c r="BD74" s="186"/>
      <c r="BE74" s="186"/>
      <c r="BF74" s="186"/>
      <c r="BG74" s="186"/>
      <c r="BH74" s="186"/>
      <c r="BI74" s="186"/>
      <c r="BJ74" s="186"/>
    </row>
    <row r="75" spans="2:75" ht="3.9" customHeight="1" x14ac:dyDescent="0.25"/>
    <row r="76" spans="2:75" ht="3.9" customHeight="1" x14ac:dyDescent="0.25"/>
    <row r="77" spans="2:75" ht="30" customHeight="1" x14ac:dyDescent="0.25">
      <c r="B77" s="196" t="s">
        <v>156</v>
      </c>
      <c r="C77" s="197"/>
      <c r="D77" s="197"/>
      <c r="E77" s="197"/>
      <c r="F77" s="197"/>
      <c r="G77" s="197"/>
      <c r="H77" s="197"/>
      <c r="I77" s="197"/>
      <c r="J77" s="197"/>
      <c r="K77" s="197"/>
      <c r="L77" s="197"/>
      <c r="M77" s="197"/>
      <c r="N77" s="197"/>
      <c r="O77" s="197"/>
      <c r="P77" s="197"/>
      <c r="Q77" s="197"/>
      <c r="R77" s="197"/>
      <c r="S77" s="197"/>
      <c r="T77" s="197"/>
      <c r="U77" s="197"/>
      <c r="V77" s="197"/>
      <c r="W77" s="197"/>
      <c r="X77" s="197"/>
      <c r="Y77" s="197"/>
      <c r="Z77" s="197"/>
      <c r="AA77" s="197"/>
      <c r="AB77" s="197"/>
      <c r="AC77" s="197"/>
      <c r="AD77" s="197"/>
      <c r="AE77" s="197"/>
      <c r="AF77" s="197"/>
      <c r="AG77" s="197"/>
      <c r="AH77" s="197"/>
      <c r="AI77" s="197"/>
      <c r="AJ77" s="188" t="s">
        <v>104</v>
      </c>
      <c r="AK77" s="164"/>
      <c r="AL77" s="164"/>
      <c r="AM77" s="164"/>
      <c r="AN77" s="164"/>
      <c r="AO77" s="164"/>
      <c r="AP77" s="164"/>
      <c r="AQ77" s="164"/>
      <c r="AR77" s="164"/>
      <c r="AS77" s="164"/>
      <c r="AT77" s="164"/>
      <c r="AU77" s="164"/>
      <c r="AV77" s="188" t="s">
        <v>105</v>
      </c>
      <c r="AW77" s="164"/>
      <c r="AX77" s="164"/>
      <c r="AY77" s="164"/>
      <c r="AZ77" s="164"/>
      <c r="BA77" s="164"/>
      <c r="BB77" s="164"/>
      <c r="BC77" s="164"/>
      <c r="BD77" s="164"/>
      <c r="BE77" s="164"/>
      <c r="BF77" s="164"/>
      <c r="BG77" s="164"/>
      <c r="BH77" s="164"/>
      <c r="BI77" s="164"/>
      <c r="BJ77" s="164"/>
    </row>
    <row r="78" spans="2:75" ht="5.0999999999999996" customHeight="1" x14ac:dyDescent="0.25">
      <c r="B78" s="20"/>
      <c r="BJ78" s="26"/>
      <c r="BP78" s="319" t="str">
        <f>IF(SUM(AV79,AV81)&gt;500000,"The contributions made by the person in a previous year in the PF account during the previous years 2021–2022, and subsequent previous years, which are in excess of the threshold limit (Rs. 500000) and the interest accrued on them are taxable. ","")</f>
        <v/>
      </c>
      <c r="BQ78" s="327"/>
      <c r="BR78" s="327"/>
      <c r="BS78" s="327"/>
      <c r="BT78" s="327"/>
      <c r="BU78" s="327"/>
      <c r="BV78" s="327"/>
      <c r="BW78" s="327"/>
    </row>
    <row r="79" spans="2:75" ht="15" customHeight="1" x14ac:dyDescent="0.25">
      <c r="B79" s="20"/>
      <c r="C79" s="195" t="s">
        <v>98</v>
      </c>
      <c r="D79" s="195"/>
      <c r="E79" s="195"/>
      <c r="F79" s="195"/>
      <c r="G79" s="195"/>
      <c r="H79" s="195"/>
      <c r="I79" s="195"/>
      <c r="J79" s="195"/>
      <c r="K79" s="195"/>
      <c r="L79" s="195"/>
      <c r="M79" s="195"/>
      <c r="N79" s="195"/>
      <c r="O79" s="195"/>
      <c r="P79" s="195"/>
      <c r="Q79" s="195"/>
      <c r="R79" s="195"/>
      <c r="S79" s="195"/>
      <c r="T79" s="195"/>
      <c r="U79" s="195"/>
      <c r="V79" s="195"/>
      <c r="W79" s="195"/>
      <c r="X79" s="195"/>
      <c r="Y79" s="195"/>
      <c r="Z79" s="195"/>
      <c r="AA79" s="195"/>
      <c r="AB79" s="195"/>
      <c r="AC79" s="195"/>
      <c r="AD79" s="195"/>
      <c r="AE79" s="195"/>
      <c r="AF79" s="195"/>
      <c r="AG79" s="195"/>
      <c r="AH79" s="195"/>
      <c r="AI79" s="81" t="s">
        <v>5</v>
      </c>
      <c r="AJ79" s="187">
        <f>BE24</f>
        <v>0</v>
      </c>
      <c r="AK79" s="187"/>
      <c r="AL79" s="187"/>
      <c r="AM79" s="187"/>
      <c r="AN79" s="187"/>
      <c r="AO79" s="187"/>
      <c r="AP79" s="187"/>
      <c r="AQ79" s="187"/>
      <c r="AR79" s="187"/>
      <c r="AS79" s="187"/>
      <c r="AT79" s="164"/>
      <c r="AU79" s="164"/>
      <c r="AV79" s="186">
        <f>AJ79</f>
        <v>0</v>
      </c>
      <c r="AW79" s="186"/>
      <c r="AX79" s="186"/>
      <c r="AY79" s="186"/>
      <c r="AZ79" s="186"/>
      <c r="BA79" s="186"/>
      <c r="BB79" s="186"/>
      <c r="BC79" s="186"/>
      <c r="BD79" s="186"/>
      <c r="BE79" s="186"/>
      <c r="BF79" s="186"/>
      <c r="BG79" s="186"/>
      <c r="BH79" s="186"/>
      <c r="BI79" s="186"/>
      <c r="BJ79" s="186"/>
      <c r="BP79" s="327"/>
      <c r="BQ79" s="327"/>
      <c r="BR79" s="327"/>
      <c r="BS79" s="327"/>
      <c r="BT79" s="327"/>
      <c r="BU79" s="327"/>
      <c r="BV79" s="327"/>
      <c r="BW79" s="327"/>
    </row>
    <row r="80" spans="2:75" ht="5.0999999999999996" customHeight="1" x14ac:dyDescent="0.25">
      <c r="B80" s="20"/>
      <c r="C80" s="20"/>
      <c r="BJ80" s="26"/>
      <c r="BP80" s="327"/>
      <c r="BQ80" s="327"/>
      <c r="BR80" s="327"/>
      <c r="BS80" s="327"/>
      <c r="BT80" s="327"/>
      <c r="BU80" s="327"/>
      <c r="BV80" s="327"/>
      <c r="BW80" s="327"/>
    </row>
    <row r="81" spans="2:75" x14ac:dyDescent="0.25">
      <c r="B81" s="20"/>
      <c r="C81" s="195" t="s">
        <v>99</v>
      </c>
      <c r="D81" s="195"/>
      <c r="E81" s="195"/>
      <c r="F81" s="195"/>
      <c r="G81" s="195"/>
      <c r="H81" s="195"/>
      <c r="I81" s="195"/>
      <c r="J81" s="195"/>
      <c r="K81" s="195"/>
      <c r="L81" s="195"/>
      <c r="M81" s="195"/>
      <c r="N81" s="195"/>
      <c r="O81" s="195"/>
      <c r="P81" s="195"/>
      <c r="Q81" s="195"/>
      <c r="R81" s="195"/>
      <c r="S81" s="195"/>
      <c r="T81" s="195"/>
      <c r="U81" s="195"/>
      <c r="V81" s="195"/>
      <c r="W81" s="195"/>
      <c r="X81" s="195"/>
      <c r="Y81" s="195"/>
      <c r="Z81" s="195"/>
      <c r="AA81" s="195"/>
      <c r="AB81" s="195"/>
      <c r="AC81" s="195"/>
      <c r="AD81" s="195"/>
      <c r="AE81" s="195"/>
      <c r="AF81" s="195"/>
      <c r="AG81" s="195"/>
      <c r="AH81" s="195"/>
      <c r="AI81" s="81" t="s">
        <v>5</v>
      </c>
      <c r="AJ81" s="187">
        <f>N34</f>
        <v>0</v>
      </c>
      <c r="AK81" s="187"/>
      <c r="AL81" s="187"/>
      <c r="AM81" s="187"/>
      <c r="AN81" s="187"/>
      <c r="AO81" s="187"/>
      <c r="AP81" s="187"/>
      <c r="AQ81" s="187"/>
      <c r="AR81" s="187"/>
      <c r="AS81" s="187"/>
      <c r="AT81" s="164"/>
      <c r="AU81" s="164"/>
      <c r="AV81" s="186">
        <f>AJ81</f>
        <v>0</v>
      </c>
      <c r="AW81" s="186"/>
      <c r="AX81" s="186"/>
      <c r="AY81" s="186"/>
      <c r="AZ81" s="186"/>
      <c r="BA81" s="186"/>
      <c r="BB81" s="186"/>
      <c r="BC81" s="186"/>
      <c r="BD81" s="186"/>
      <c r="BE81" s="186"/>
      <c r="BF81" s="186"/>
      <c r="BG81" s="186"/>
      <c r="BH81" s="186"/>
      <c r="BI81" s="186"/>
      <c r="BJ81" s="186"/>
      <c r="BP81" s="327"/>
      <c r="BQ81" s="327"/>
      <c r="BR81" s="327"/>
      <c r="BS81" s="327"/>
      <c r="BT81" s="327"/>
      <c r="BU81" s="327"/>
      <c r="BV81" s="327"/>
      <c r="BW81" s="327"/>
    </row>
    <row r="82" spans="2:75" ht="5.0999999999999996" customHeight="1" x14ac:dyDescent="0.25">
      <c r="B82" s="20"/>
      <c r="C82" s="20"/>
      <c r="BJ82" s="26"/>
      <c r="BP82" s="327"/>
      <c r="BQ82" s="327"/>
      <c r="BR82" s="327"/>
      <c r="BS82" s="327"/>
      <c r="BT82" s="327"/>
      <c r="BU82" s="327"/>
      <c r="BV82" s="327"/>
      <c r="BW82" s="327"/>
    </row>
    <row r="83" spans="2:75" x14ac:dyDescent="0.25">
      <c r="B83" s="20"/>
      <c r="C83" s="195" t="s">
        <v>102</v>
      </c>
      <c r="D83" s="195"/>
      <c r="E83" s="195"/>
      <c r="F83" s="195"/>
      <c r="G83" s="195"/>
      <c r="H83" s="195"/>
      <c r="I83" s="195"/>
      <c r="J83" s="195"/>
      <c r="K83" s="195"/>
      <c r="L83" s="195"/>
      <c r="M83" s="195"/>
      <c r="N83" s="195"/>
      <c r="O83" s="195"/>
      <c r="P83" s="195"/>
      <c r="Q83" s="195"/>
      <c r="R83" s="195"/>
      <c r="S83" s="195"/>
      <c r="T83" s="195"/>
      <c r="U83" s="195"/>
      <c r="V83" s="195"/>
      <c r="W83" s="195"/>
      <c r="X83" s="195"/>
      <c r="Y83" s="195"/>
      <c r="Z83" s="195"/>
      <c r="AA83" s="195"/>
      <c r="AB83" s="195"/>
      <c r="AC83" s="195"/>
      <c r="AD83" s="195"/>
      <c r="AE83" s="195"/>
      <c r="AF83" s="195"/>
      <c r="AG83" s="195"/>
      <c r="AH83" s="195"/>
      <c r="AI83" s="81" t="s">
        <v>5</v>
      </c>
      <c r="AJ83" s="187">
        <f>AU24</f>
        <v>0</v>
      </c>
      <c r="AK83" s="187"/>
      <c r="AL83" s="187"/>
      <c r="AM83" s="187"/>
      <c r="AN83" s="187"/>
      <c r="AO83" s="187"/>
      <c r="AP83" s="187"/>
      <c r="AQ83" s="187"/>
      <c r="AR83" s="187"/>
      <c r="AS83" s="187"/>
      <c r="AT83" s="164"/>
      <c r="AU83" s="164"/>
      <c r="AV83" s="186">
        <f>AJ83</f>
        <v>0</v>
      </c>
      <c r="AW83" s="186"/>
      <c r="AX83" s="186"/>
      <c r="AY83" s="186"/>
      <c r="AZ83" s="186"/>
      <c r="BA83" s="186"/>
      <c r="BB83" s="186"/>
      <c r="BC83" s="186"/>
      <c r="BD83" s="186"/>
      <c r="BE83" s="186"/>
      <c r="BF83" s="186"/>
      <c r="BG83" s="186"/>
      <c r="BH83" s="186"/>
      <c r="BI83" s="186"/>
      <c r="BJ83" s="186"/>
      <c r="BP83" s="132"/>
      <c r="BQ83" s="132"/>
      <c r="BR83" s="132"/>
      <c r="BS83" s="132"/>
      <c r="BT83" s="132"/>
      <c r="BU83" s="132"/>
      <c r="BV83" s="132"/>
      <c r="BW83" s="132"/>
    </row>
    <row r="84" spans="2:75" ht="5.0999999999999996" customHeight="1" x14ac:dyDescent="0.25">
      <c r="B84" s="20"/>
      <c r="C84" s="20"/>
      <c r="BJ84" s="26"/>
    </row>
    <row r="85" spans="2:75" x14ac:dyDescent="0.25">
      <c r="B85" s="20"/>
      <c r="C85" s="195" t="s">
        <v>103</v>
      </c>
      <c r="D85" s="195"/>
      <c r="E85" s="195"/>
      <c r="F85" s="195"/>
      <c r="G85" s="195"/>
      <c r="H85" s="195"/>
      <c r="I85" s="195"/>
      <c r="J85" s="195"/>
      <c r="K85" s="195"/>
      <c r="L85" s="195"/>
      <c r="M85" s="195"/>
      <c r="N85" s="195"/>
      <c r="O85" s="195"/>
      <c r="P85" s="195"/>
      <c r="Q85" s="195"/>
      <c r="R85" s="195"/>
      <c r="S85" s="195"/>
      <c r="T85" s="195"/>
      <c r="U85" s="195"/>
      <c r="V85" s="195"/>
      <c r="W85" s="195"/>
      <c r="X85" s="195"/>
      <c r="Y85" s="195"/>
      <c r="Z85" s="195"/>
      <c r="AA85" s="195"/>
      <c r="AB85" s="195"/>
      <c r="AC85" s="195"/>
      <c r="AD85" s="195"/>
      <c r="AE85" s="195"/>
      <c r="AF85" s="195"/>
      <c r="AG85" s="195"/>
      <c r="AH85" s="195"/>
      <c r="AI85" s="81" t="s">
        <v>5</v>
      </c>
      <c r="AJ85" s="187">
        <f>AZ24</f>
        <v>0</v>
      </c>
      <c r="AK85" s="187"/>
      <c r="AL85" s="187"/>
      <c r="AM85" s="187"/>
      <c r="AN85" s="187"/>
      <c r="AO85" s="187"/>
      <c r="AP85" s="187"/>
      <c r="AQ85" s="187"/>
      <c r="AR85" s="187"/>
      <c r="AS85" s="187"/>
      <c r="AT85" s="164"/>
      <c r="AU85" s="164"/>
      <c r="AV85" s="186">
        <f>AJ85</f>
        <v>0</v>
      </c>
      <c r="AW85" s="186"/>
      <c r="AX85" s="186"/>
      <c r="AY85" s="186"/>
      <c r="AZ85" s="186"/>
      <c r="BA85" s="186"/>
      <c r="BB85" s="186"/>
      <c r="BC85" s="186"/>
      <c r="BD85" s="186"/>
      <c r="BE85" s="186"/>
      <c r="BF85" s="186"/>
      <c r="BG85" s="186"/>
      <c r="BH85" s="186"/>
      <c r="BI85" s="186"/>
      <c r="BJ85" s="186"/>
    </row>
    <row r="86" spans="2:75" ht="5.0999999999999996" customHeight="1" x14ac:dyDescent="0.25">
      <c r="B86" s="20"/>
      <c r="C86" s="20"/>
      <c r="BJ86" s="26"/>
    </row>
    <row r="87" spans="2:75" x14ac:dyDescent="0.25">
      <c r="B87" s="20"/>
      <c r="C87" s="195" t="s">
        <v>225</v>
      </c>
      <c r="D87" s="195"/>
      <c r="E87" s="195"/>
      <c r="F87" s="195"/>
      <c r="G87" s="195"/>
      <c r="H87" s="195"/>
      <c r="I87" s="195"/>
      <c r="J87" s="195"/>
      <c r="K87" s="195"/>
      <c r="L87" s="195"/>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81" t="s">
        <v>5</v>
      </c>
      <c r="AJ87" s="187">
        <f>IF(AC24&lt;&gt;0,1000,0)</f>
        <v>0</v>
      </c>
      <c r="AK87" s="187"/>
      <c r="AL87" s="187"/>
      <c r="AM87" s="187"/>
      <c r="AN87" s="187"/>
      <c r="AO87" s="187"/>
      <c r="AP87" s="187"/>
      <c r="AQ87" s="187"/>
      <c r="AR87" s="187"/>
      <c r="AS87" s="187"/>
      <c r="AT87" s="164"/>
      <c r="AU87" s="164"/>
      <c r="AV87" s="186">
        <f>AJ87</f>
        <v>0</v>
      </c>
      <c r="AW87" s="186"/>
      <c r="AX87" s="186"/>
      <c r="AY87" s="186"/>
      <c r="AZ87" s="186"/>
      <c r="BA87" s="186"/>
      <c r="BB87" s="186"/>
      <c r="BC87" s="186"/>
      <c r="BD87" s="186"/>
      <c r="BE87" s="186"/>
      <c r="BF87" s="186"/>
      <c r="BG87" s="186"/>
      <c r="BH87" s="186"/>
      <c r="BI87" s="186"/>
      <c r="BJ87" s="186"/>
    </row>
    <row r="88" spans="2:75" ht="5.0999999999999996" customHeight="1" x14ac:dyDescent="0.25">
      <c r="B88" s="20"/>
      <c r="C88" s="20"/>
      <c r="BJ88" s="26"/>
    </row>
    <row r="89" spans="2:75" x14ac:dyDescent="0.25">
      <c r="B89" s="20"/>
      <c r="C89" s="200" t="s">
        <v>100</v>
      </c>
      <c r="D89" s="169"/>
      <c r="E89" s="169"/>
      <c r="F89" s="169"/>
      <c r="G89" s="169"/>
      <c r="H89" s="169"/>
      <c r="I89" s="169"/>
      <c r="J89" s="169"/>
      <c r="K89" s="169"/>
      <c r="L89" s="169"/>
      <c r="M89" s="169"/>
      <c r="N89" s="169"/>
      <c r="O89" s="169"/>
      <c r="P89" s="169"/>
      <c r="Q89" s="169"/>
      <c r="R89" s="169"/>
      <c r="S89" s="169"/>
      <c r="T89" s="169"/>
      <c r="U89" s="169"/>
      <c r="V89" s="169"/>
      <c r="W89" s="169"/>
      <c r="X89" s="169"/>
      <c r="Y89" s="169"/>
      <c r="Z89" s="169"/>
      <c r="AA89" s="169"/>
      <c r="AB89" s="169"/>
      <c r="AC89" s="169"/>
      <c r="AD89" s="169"/>
      <c r="AE89" s="169"/>
      <c r="AF89" s="169"/>
      <c r="AG89" s="169"/>
      <c r="AH89" s="170"/>
      <c r="AI89" s="81" t="s">
        <v>5</v>
      </c>
      <c r="AJ89" s="161">
        <f>AJ24</f>
        <v>0</v>
      </c>
      <c r="AK89" s="162"/>
      <c r="AL89" s="162"/>
      <c r="AM89" s="162"/>
      <c r="AN89" s="162"/>
      <c r="AO89" s="162"/>
      <c r="AP89" s="162"/>
      <c r="AQ89" s="162"/>
      <c r="AR89" s="162"/>
      <c r="AS89" s="163"/>
      <c r="AT89" s="164"/>
      <c r="AU89" s="164"/>
      <c r="AV89" s="158">
        <f>AJ89</f>
        <v>0</v>
      </c>
      <c r="AW89" s="159"/>
      <c r="AX89" s="159"/>
      <c r="AY89" s="159"/>
      <c r="AZ89" s="159"/>
      <c r="BA89" s="159"/>
      <c r="BB89" s="159"/>
      <c r="BC89" s="159"/>
      <c r="BD89" s="159"/>
      <c r="BE89" s="159"/>
      <c r="BF89" s="159"/>
      <c r="BG89" s="159"/>
      <c r="BH89" s="159"/>
      <c r="BI89" s="159"/>
      <c r="BJ89" s="160"/>
    </row>
    <row r="90" spans="2:75" ht="5.0999999999999996" customHeight="1" x14ac:dyDescent="0.25">
      <c r="B90" s="20"/>
      <c r="C90" s="20"/>
      <c r="BJ90" s="26"/>
    </row>
    <row r="91" spans="2:75" x14ac:dyDescent="0.25">
      <c r="B91" s="20"/>
      <c r="C91" s="200" t="s">
        <v>101</v>
      </c>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70"/>
      <c r="AI91" s="81" t="s">
        <v>5</v>
      </c>
      <c r="AJ91" s="155"/>
      <c r="AK91" s="156"/>
      <c r="AL91" s="156"/>
      <c r="AM91" s="156"/>
      <c r="AN91" s="156"/>
      <c r="AO91" s="156"/>
      <c r="AP91" s="156"/>
      <c r="AQ91" s="156"/>
      <c r="AR91" s="156"/>
      <c r="AS91" s="157"/>
      <c r="AT91" s="164"/>
      <c r="AU91" s="164"/>
      <c r="AV91" s="158">
        <f>AJ91</f>
        <v>0</v>
      </c>
      <c r="AW91" s="159"/>
      <c r="AX91" s="159"/>
      <c r="AY91" s="159"/>
      <c r="AZ91" s="159"/>
      <c r="BA91" s="159"/>
      <c r="BB91" s="159"/>
      <c r="BC91" s="159"/>
      <c r="BD91" s="159"/>
      <c r="BE91" s="159"/>
      <c r="BF91" s="159"/>
      <c r="BG91" s="159"/>
      <c r="BH91" s="159"/>
      <c r="BI91" s="159"/>
      <c r="BJ91" s="160"/>
    </row>
    <row r="92" spans="2:75" ht="5.0999999999999996" customHeight="1" x14ac:dyDescent="0.25">
      <c r="B92" s="20"/>
      <c r="C92" s="20"/>
      <c r="BJ92" s="26"/>
    </row>
    <row r="93" spans="2:75" x14ac:dyDescent="0.25">
      <c r="B93" s="20"/>
      <c r="C93" s="200" t="s">
        <v>106</v>
      </c>
      <c r="D93" s="169"/>
      <c r="E93" s="169"/>
      <c r="F93" s="169"/>
      <c r="G93" s="169"/>
      <c r="H93" s="169"/>
      <c r="I93" s="169"/>
      <c r="J93" s="169"/>
      <c r="K93" s="169"/>
      <c r="L93" s="169"/>
      <c r="M93" s="169"/>
      <c r="N93" s="169"/>
      <c r="O93" s="169"/>
      <c r="P93" s="169"/>
      <c r="Q93" s="169"/>
      <c r="R93" s="169"/>
      <c r="S93" s="169"/>
      <c r="T93" s="169"/>
      <c r="U93" s="169"/>
      <c r="V93" s="169"/>
      <c r="W93" s="169"/>
      <c r="X93" s="169"/>
      <c r="Y93" s="169"/>
      <c r="Z93" s="169"/>
      <c r="AA93" s="169"/>
      <c r="AB93" s="169"/>
      <c r="AC93" s="169"/>
      <c r="AD93" s="169"/>
      <c r="AE93" s="169"/>
      <c r="AF93" s="169"/>
      <c r="AG93" s="169"/>
      <c r="AH93" s="170"/>
      <c r="AI93" s="81" t="s">
        <v>5</v>
      </c>
      <c r="AJ93" s="155"/>
      <c r="AK93" s="156"/>
      <c r="AL93" s="156"/>
      <c r="AM93" s="156"/>
      <c r="AN93" s="156"/>
      <c r="AO93" s="156"/>
      <c r="AP93" s="156"/>
      <c r="AQ93" s="156"/>
      <c r="AR93" s="156"/>
      <c r="AS93" s="157"/>
      <c r="AT93" s="164"/>
      <c r="AU93" s="164"/>
      <c r="AV93" s="158">
        <f>AJ93</f>
        <v>0</v>
      </c>
      <c r="AW93" s="159"/>
      <c r="AX93" s="159"/>
      <c r="AY93" s="159"/>
      <c r="AZ93" s="159"/>
      <c r="BA93" s="159"/>
      <c r="BB93" s="159"/>
      <c r="BC93" s="159"/>
      <c r="BD93" s="159"/>
      <c r="BE93" s="159"/>
      <c r="BF93" s="159"/>
      <c r="BG93" s="159"/>
      <c r="BH93" s="159"/>
      <c r="BI93" s="159"/>
      <c r="BJ93" s="160"/>
    </row>
    <row r="94" spans="2:75" ht="5.0999999999999996" customHeight="1" x14ac:dyDescent="0.25">
      <c r="B94" s="20"/>
      <c r="C94" s="20"/>
      <c r="BJ94" s="26"/>
    </row>
    <row r="95" spans="2:75" x14ac:dyDescent="0.25">
      <c r="B95" s="20"/>
      <c r="C95" s="200" t="s">
        <v>141</v>
      </c>
      <c r="D95" s="169"/>
      <c r="E95" s="169"/>
      <c r="F95" s="169"/>
      <c r="G95" s="169"/>
      <c r="H95" s="169"/>
      <c r="I95" s="169"/>
      <c r="J95" s="169"/>
      <c r="K95" s="169"/>
      <c r="L95" s="169"/>
      <c r="M95" s="169"/>
      <c r="N95" s="169"/>
      <c r="O95" s="169"/>
      <c r="P95" s="169"/>
      <c r="Q95" s="169"/>
      <c r="R95" s="169"/>
      <c r="S95" s="169"/>
      <c r="T95" s="169"/>
      <c r="U95" s="169"/>
      <c r="V95" s="169"/>
      <c r="W95" s="169"/>
      <c r="X95" s="169"/>
      <c r="Y95" s="169"/>
      <c r="Z95" s="169"/>
      <c r="AA95" s="169"/>
      <c r="AB95" s="169"/>
      <c r="AC95" s="169"/>
      <c r="AD95" s="169"/>
      <c r="AE95" s="169"/>
      <c r="AF95" s="169"/>
      <c r="AG95" s="169"/>
      <c r="AH95" s="170"/>
      <c r="AI95" s="81" t="s">
        <v>5</v>
      </c>
      <c r="AJ95" s="155"/>
      <c r="AK95" s="156"/>
      <c r="AL95" s="156"/>
      <c r="AM95" s="156"/>
      <c r="AN95" s="156"/>
      <c r="AO95" s="156"/>
      <c r="AP95" s="156"/>
      <c r="AQ95" s="156"/>
      <c r="AR95" s="156"/>
      <c r="AS95" s="157"/>
      <c r="AT95" s="164"/>
      <c r="AU95" s="164"/>
      <c r="AV95" s="158">
        <f>AJ95</f>
        <v>0</v>
      </c>
      <c r="AW95" s="159"/>
      <c r="AX95" s="159"/>
      <c r="AY95" s="159"/>
      <c r="AZ95" s="159"/>
      <c r="BA95" s="159"/>
      <c r="BB95" s="159"/>
      <c r="BC95" s="159"/>
      <c r="BD95" s="159"/>
      <c r="BE95" s="159"/>
      <c r="BF95" s="159"/>
      <c r="BG95" s="159"/>
      <c r="BH95" s="159"/>
      <c r="BI95" s="159"/>
      <c r="BJ95" s="160"/>
    </row>
    <row r="96" spans="2:75" ht="5.0999999999999996" customHeight="1" x14ac:dyDescent="0.25">
      <c r="B96" s="20"/>
      <c r="C96" s="20"/>
      <c r="BJ96" s="26"/>
    </row>
    <row r="97" spans="2:74" x14ac:dyDescent="0.25">
      <c r="B97" s="20"/>
      <c r="C97" s="201" t="s">
        <v>107</v>
      </c>
      <c r="D97" s="202"/>
      <c r="E97" s="202"/>
      <c r="F97" s="202"/>
      <c r="G97" s="202"/>
      <c r="H97" s="202"/>
      <c r="I97" s="202"/>
      <c r="J97" s="202"/>
      <c r="K97" s="202"/>
      <c r="L97" s="202"/>
      <c r="M97" s="202"/>
      <c r="N97" s="202"/>
      <c r="O97" s="202"/>
      <c r="P97" s="202"/>
      <c r="Q97" s="202"/>
      <c r="R97" s="202"/>
      <c r="S97" s="202"/>
      <c r="T97" s="202"/>
      <c r="U97" s="202"/>
      <c r="V97" s="202"/>
      <c r="W97" s="202"/>
      <c r="X97" s="202"/>
      <c r="Y97" s="202"/>
      <c r="Z97" s="202"/>
      <c r="AA97" s="202"/>
      <c r="AB97" s="202"/>
      <c r="AC97" s="202"/>
      <c r="AD97" s="202"/>
      <c r="AE97" s="202"/>
      <c r="AF97" s="202"/>
      <c r="AG97" s="202"/>
      <c r="AH97" s="203"/>
      <c r="AI97" s="81" t="s">
        <v>5</v>
      </c>
      <c r="AJ97" s="155"/>
      <c r="AK97" s="156"/>
      <c r="AL97" s="156"/>
      <c r="AM97" s="156"/>
      <c r="AN97" s="156"/>
      <c r="AO97" s="156"/>
      <c r="AP97" s="156"/>
      <c r="AQ97" s="156"/>
      <c r="AR97" s="156"/>
      <c r="AS97" s="157"/>
      <c r="AT97" s="164"/>
      <c r="AU97" s="164"/>
      <c r="AV97" s="158">
        <f>AJ97</f>
        <v>0</v>
      </c>
      <c r="AW97" s="159"/>
      <c r="AX97" s="159"/>
      <c r="AY97" s="159"/>
      <c r="AZ97" s="159"/>
      <c r="BA97" s="159"/>
      <c r="BB97" s="159"/>
      <c r="BC97" s="159"/>
      <c r="BD97" s="159"/>
      <c r="BE97" s="159"/>
      <c r="BF97" s="159"/>
      <c r="BG97" s="159"/>
      <c r="BH97" s="159"/>
      <c r="BI97" s="159"/>
      <c r="BJ97" s="160"/>
    </row>
    <row r="98" spans="2:74" ht="5.0999999999999996" customHeight="1" x14ac:dyDescent="0.25">
      <c r="B98" s="20"/>
      <c r="C98" s="20"/>
      <c r="BJ98" s="26"/>
    </row>
    <row r="99" spans="2:74" x14ac:dyDescent="0.25">
      <c r="B99" s="20"/>
      <c r="C99" s="201" t="s">
        <v>107</v>
      </c>
      <c r="D99" s="202"/>
      <c r="E99" s="202"/>
      <c r="F99" s="202"/>
      <c r="G99" s="202"/>
      <c r="H99" s="202"/>
      <c r="I99" s="202"/>
      <c r="J99" s="202"/>
      <c r="K99" s="202"/>
      <c r="L99" s="202"/>
      <c r="M99" s="202"/>
      <c r="N99" s="202"/>
      <c r="O99" s="202"/>
      <c r="P99" s="202"/>
      <c r="Q99" s="202"/>
      <c r="R99" s="202"/>
      <c r="S99" s="202"/>
      <c r="T99" s="202"/>
      <c r="U99" s="202"/>
      <c r="V99" s="202"/>
      <c r="W99" s="202"/>
      <c r="X99" s="202"/>
      <c r="Y99" s="202"/>
      <c r="Z99" s="202"/>
      <c r="AA99" s="202"/>
      <c r="AB99" s="202"/>
      <c r="AC99" s="202"/>
      <c r="AD99" s="202"/>
      <c r="AE99" s="202"/>
      <c r="AF99" s="202"/>
      <c r="AG99" s="202"/>
      <c r="AH99" s="203"/>
      <c r="AI99" s="81" t="s">
        <v>5</v>
      </c>
      <c r="AJ99" s="155"/>
      <c r="AK99" s="156"/>
      <c r="AL99" s="156"/>
      <c r="AM99" s="156"/>
      <c r="AN99" s="156"/>
      <c r="AO99" s="156"/>
      <c r="AP99" s="156"/>
      <c r="AQ99" s="156"/>
      <c r="AR99" s="156"/>
      <c r="AS99" s="157"/>
      <c r="AT99" s="164"/>
      <c r="AU99" s="164"/>
      <c r="AV99" s="158">
        <f>AJ99</f>
        <v>0</v>
      </c>
      <c r="AW99" s="159"/>
      <c r="AX99" s="159"/>
      <c r="AY99" s="159"/>
      <c r="AZ99" s="159"/>
      <c r="BA99" s="159"/>
      <c r="BB99" s="159"/>
      <c r="BC99" s="159"/>
      <c r="BD99" s="159"/>
      <c r="BE99" s="159"/>
      <c r="BF99" s="159"/>
      <c r="BG99" s="159"/>
      <c r="BH99" s="159"/>
      <c r="BI99" s="159"/>
      <c r="BJ99" s="160"/>
    </row>
    <row r="100" spans="2:74" ht="5.0999999999999996" customHeight="1" x14ac:dyDescent="0.25">
      <c r="B100" s="20"/>
      <c r="C100" s="20"/>
      <c r="BJ100" s="26"/>
    </row>
    <row r="101" spans="2:74" x14ac:dyDescent="0.25">
      <c r="B101" s="20"/>
      <c r="C101" s="201" t="s">
        <v>107</v>
      </c>
      <c r="D101" s="202"/>
      <c r="E101" s="202"/>
      <c r="F101" s="202"/>
      <c r="G101" s="202"/>
      <c r="H101" s="202"/>
      <c r="I101" s="202"/>
      <c r="J101" s="202"/>
      <c r="K101" s="202"/>
      <c r="L101" s="202"/>
      <c r="M101" s="202"/>
      <c r="N101" s="202"/>
      <c r="O101" s="202"/>
      <c r="P101" s="202"/>
      <c r="Q101" s="202"/>
      <c r="R101" s="202"/>
      <c r="S101" s="202"/>
      <c r="T101" s="202"/>
      <c r="U101" s="202"/>
      <c r="V101" s="202"/>
      <c r="W101" s="202"/>
      <c r="X101" s="202"/>
      <c r="Y101" s="202"/>
      <c r="Z101" s="202"/>
      <c r="AA101" s="202"/>
      <c r="AB101" s="202"/>
      <c r="AC101" s="202"/>
      <c r="AD101" s="202"/>
      <c r="AE101" s="202"/>
      <c r="AF101" s="202"/>
      <c r="AG101" s="202"/>
      <c r="AH101" s="203"/>
      <c r="AI101" s="81" t="s">
        <v>5</v>
      </c>
      <c r="AJ101" s="155"/>
      <c r="AK101" s="156"/>
      <c r="AL101" s="156"/>
      <c r="AM101" s="156"/>
      <c r="AN101" s="156"/>
      <c r="AO101" s="156"/>
      <c r="AP101" s="156"/>
      <c r="AQ101" s="156"/>
      <c r="AR101" s="156"/>
      <c r="AS101" s="157"/>
      <c r="AT101" s="164"/>
      <c r="AU101" s="164"/>
      <c r="AV101" s="158">
        <f>AJ101</f>
        <v>0</v>
      </c>
      <c r="AW101" s="159"/>
      <c r="AX101" s="159"/>
      <c r="AY101" s="159"/>
      <c r="AZ101" s="159"/>
      <c r="BA101" s="159"/>
      <c r="BB101" s="159"/>
      <c r="BC101" s="159"/>
      <c r="BD101" s="159"/>
      <c r="BE101" s="159"/>
      <c r="BF101" s="159"/>
      <c r="BG101" s="159"/>
      <c r="BH101" s="159"/>
      <c r="BI101" s="159"/>
      <c r="BJ101" s="160"/>
    </row>
    <row r="102" spans="2:74" ht="5.0999999999999996" customHeight="1" x14ac:dyDescent="0.25">
      <c r="B102" s="20"/>
      <c r="C102" s="20"/>
      <c r="BJ102" s="26"/>
    </row>
    <row r="103" spans="2:74" x14ac:dyDescent="0.25">
      <c r="B103" s="20"/>
      <c r="C103" s="200" t="s">
        <v>108</v>
      </c>
      <c r="D103" s="169"/>
      <c r="E103" s="169"/>
      <c r="F103" s="169"/>
      <c r="G103" s="169"/>
      <c r="H103" s="169"/>
      <c r="I103" s="169"/>
      <c r="J103" s="169"/>
      <c r="K103" s="169"/>
      <c r="L103" s="169"/>
      <c r="M103" s="169"/>
      <c r="N103" s="169"/>
      <c r="O103" s="169"/>
      <c r="P103" s="169"/>
      <c r="Q103" s="169"/>
      <c r="R103" s="169"/>
      <c r="S103" s="169"/>
      <c r="T103" s="169"/>
      <c r="U103" s="169"/>
      <c r="V103" s="169"/>
      <c r="W103" s="169"/>
      <c r="X103" s="169"/>
      <c r="Y103" s="169"/>
      <c r="Z103" s="169"/>
      <c r="AA103" s="169"/>
      <c r="AB103" s="169"/>
      <c r="AC103" s="169"/>
      <c r="AD103" s="169"/>
      <c r="AE103" s="169"/>
      <c r="AF103" s="169"/>
      <c r="AG103" s="169"/>
      <c r="AH103" s="170"/>
      <c r="AI103" s="81" t="s">
        <v>5</v>
      </c>
      <c r="AJ103" s="161">
        <f>SUM(AJ79,AJ81,AJ83,AJ85,AJ87,AJ89,AJ91,AJ93,AJ95,AJ97,AJ99,AJ101)</f>
        <v>0</v>
      </c>
      <c r="AK103" s="162"/>
      <c r="AL103" s="162"/>
      <c r="AM103" s="162"/>
      <c r="AN103" s="162"/>
      <c r="AO103" s="162"/>
      <c r="AP103" s="162"/>
      <c r="AQ103" s="162"/>
      <c r="AR103" s="162"/>
      <c r="AS103" s="163"/>
      <c r="AT103" s="164"/>
      <c r="AU103" s="164"/>
      <c r="AV103" s="158">
        <f>IF(AJ103&lt;=150000, AJ103,150000)</f>
        <v>0</v>
      </c>
      <c r="AW103" s="159"/>
      <c r="AX103" s="159"/>
      <c r="AY103" s="159"/>
      <c r="AZ103" s="159"/>
      <c r="BA103" s="159"/>
      <c r="BB103" s="159"/>
      <c r="BC103" s="159"/>
      <c r="BD103" s="159"/>
      <c r="BE103" s="159"/>
      <c r="BF103" s="159"/>
      <c r="BG103" s="159"/>
      <c r="BH103" s="159"/>
      <c r="BI103" s="159"/>
      <c r="BJ103" s="160"/>
      <c r="BL103" s="319" t="str">
        <f>IF(SUM(AJ103,AJ105,AJ107)&gt;150000,"80CCE: The aggregate amount of deductions under section 80C, section 80CCC and  section 80CCD(1) shall not exceed 150000 rupees.","")</f>
        <v/>
      </c>
      <c r="BM103" s="319"/>
      <c r="BN103" s="319"/>
      <c r="BO103" s="319"/>
      <c r="BP103" s="319"/>
      <c r="BQ103" s="319"/>
      <c r="BR103" s="319"/>
      <c r="BS103" s="319"/>
      <c r="BT103" s="319"/>
      <c r="BU103" s="319"/>
      <c r="BV103" s="319"/>
    </row>
    <row r="104" spans="2:74" ht="5.0999999999999996" customHeight="1" x14ac:dyDescent="0.25">
      <c r="B104" s="20"/>
      <c r="C104" s="20"/>
      <c r="BJ104" s="26"/>
      <c r="BL104" s="319"/>
      <c r="BM104" s="319"/>
      <c r="BN104" s="319"/>
      <c r="BO104" s="319"/>
      <c r="BP104" s="319"/>
      <c r="BQ104" s="319"/>
      <c r="BR104" s="319"/>
      <c r="BS104" s="319"/>
      <c r="BT104" s="319"/>
      <c r="BU104" s="319"/>
      <c r="BV104" s="319"/>
    </row>
    <row r="105" spans="2:74" ht="15" customHeight="1" x14ac:dyDescent="0.25">
      <c r="B105" s="20"/>
      <c r="C105" s="200" t="s">
        <v>133</v>
      </c>
      <c r="D105" s="169"/>
      <c r="E105" s="169"/>
      <c r="F105" s="169"/>
      <c r="G105" s="169"/>
      <c r="H105" s="169"/>
      <c r="I105" s="169"/>
      <c r="J105" s="169"/>
      <c r="K105" s="169"/>
      <c r="L105" s="169"/>
      <c r="M105" s="169"/>
      <c r="N105" s="169"/>
      <c r="O105" s="169"/>
      <c r="P105" s="169"/>
      <c r="Q105" s="169"/>
      <c r="R105" s="169"/>
      <c r="S105" s="169"/>
      <c r="T105" s="169"/>
      <c r="U105" s="169"/>
      <c r="V105" s="169"/>
      <c r="W105" s="169"/>
      <c r="X105" s="169"/>
      <c r="Y105" s="169"/>
      <c r="Z105" s="169"/>
      <c r="AA105" s="169"/>
      <c r="AB105" s="169"/>
      <c r="AC105" s="169"/>
      <c r="AD105" s="169"/>
      <c r="AE105" s="169"/>
      <c r="AF105" s="169"/>
      <c r="AG105" s="169"/>
      <c r="AH105" s="170"/>
      <c r="AI105" s="81" t="s">
        <v>5</v>
      </c>
      <c r="AJ105" s="155"/>
      <c r="AK105" s="156"/>
      <c r="AL105" s="156"/>
      <c r="AM105" s="156"/>
      <c r="AN105" s="156"/>
      <c r="AO105" s="156"/>
      <c r="AP105" s="156"/>
      <c r="AQ105" s="156"/>
      <c r="AR105" s="156"/>
      <c r="AS105" s="157"/>
      <c r="AT105" s="164"/>
      <c r="AU105" s="164"/>
      <c r="AV105" s="158">
        <f>IF(AV103&lt;150000,IF((AV103+AJ105)&lt;=150000,AJ105,(150000-AV103)),0)</f>
        <v>0</v>
      </c>
      <c r="AW105" s="159"/>
      <c r="AX105" s="159"/>
      <c r="AY105" s="159"/>
      <c r="AZ105" s="159"/>
      <c r="BA105" s="159"/>
      <c r="BB105" s="159"/>
      <c r="BC105" s="159"/>
      <c r="BD105" s="159"/>
      <c r="BE105" s="159"/>
      <c r="BF105" s="159"/>
      <c r="BG105" s="159"/>
      <c r="BH105" s="159"/>
      <c r="BI105" s="159"/>
      <c r="BJ105" s="160"/>
      <c r="BL105" s="319"/>
      <c r="BM105" s="319"/>
      <c r="BN105" s="319"/>
      <c r="BO105" s="319"/>
      <c r="BP105" s="319"/>
      <c r="BQ105" s="319"/>
      <c r="BR105" s="319"/>
      <c r="BS105" s="319"/>
      <c r="BT105" s="319"/>
      <c r="BU105" s="319"/>
      <c r="BV105" s="319"/>
    </row>
    <row r="106" spans="2:74" ht="5.0999999999999996" customHeight="1" x14ac:dyDescent="0.25">
      <c r="B106" s="20"/>
      <c r="BJ106" s="26"/>
    </row>
    <row r="107" spans="2:74" ht="27.6" customHeight="1" x14ac:dyDescent="0.25">
      <c r="B107" s="20"/>
      <c r="C107" s="183" t="s">
        <v>147</v>
      </c>
      <c r="D107" s="184"/>
      <c r="E107" s="184"/>
      <c r="F107" s="184"/>
      <c r="G107" s="184"/>
      <c r="H107" s="184"/>
      <c r="I107" s="184"/>
      <c r="J107" s="184"/>
      <c r="K107" s="184"/>
      <c r="L107" s="184"/>
      <c r="M107" s="184"/>
      <c r="N107" s="184"/>
      <c r="O107" s="184"/>
      <c r="P107" s="184"/>
      <c r="Q107" s="184"/>
      <c r="R107" s="184"/>
      <c r="S107" s="184"/>
      <c r="T107" s="184"/>
      <c r="U107" s="184"/>
      <c r="V107" s="184"/>
      <c r="W107" s="184"/>
      <c r="X107" s="184"/>
      <c r="Y107" s="184"/>
      <c r="Z107" s="184"/>
      <c r="AA107" s="184"/>
      <c r="AB107" s="184"/>
      <c r="AC107" s="184"/>
      <c r="AD107" s="184"/>
      <c r="AE107" s="184"/>
      <c r="AF107" s="184"/>
      <c r="AG107" s="184"/>
      <c r="AH107" s="185"/>
      <c r="AI107" s="81" t="s">
        <v>5</v>
      </c>
      <c r="AJ107" s="187">
        <f>IF(AND('Basic Information'!AN12="NPS",SUM(K24,Q24)&lt;&gt;0),IF(ISNUMBER(BA30),IF(SUM(BA30,BA28)&gt;50000,SUM(BA30,BA28)-50000,0),IF(BA28&gt;50000,BA28-50000,0)),0)</f>
        <v>0</v>
      </c>
      <c r="AK107" s="187"/>
      <c r="AL107" s="187"/>
      <c r="AM107" s="187"/>
      <c r="AN107" s="187"/>
      <c r="AO107" s="187"/>
      <c r="AP107" s="187"/>
      <c r="AQ107" s="187"/>
      <c r="AR107" s="187"/>
      <c r="AS107" s="187"/>
      <c r="AT107" s="164"/>
      <c r="AU107" s="164"/>
      <c r="AV107" s="186">
        <f>IF(AND('Basic Information'!AN12="NPS",SUM(BA28,BA30)&lt;&gt;0,(AV103+AV105)&lt;150000),IF((AV103+AV105+AJ107)&lt;=150000,AJ107,(150000-AV103-AV105)),0)</f>
        <v>0</v>
      </c>
      <c r="AW107" s="186"/>
      <c r="AX107" s="186"/>
      <c r="AY107" s="186"/>
      <c r="AZ107" s="186"/>
      <c r="BA107" s="186"/>
      <c r="BB107" s="186"/>
      <c r="BC107" s="186"/>
      <c r="BD107" s="186"/>
      <c r="BE107" s="186"/>
      <c r="BF107" s="186"/>
      <c r="BG107" s="186"/>
      <c r="BH107" s="186"/>
      <c r="BI107" s="186"/>
      <c r="BJ107" s="186"/>
    </row>
    <row r="108" spans="2:74" ht="5.0999999999999996" customHeight="1" x14ac:dyDescent="0.25">
      <c r="B108" s="20"/>
      <c r="BJ108" s="26"/>
      <c r="BL108" s="319" t="str">
        <f>IF(AV109=50000,"The maximum allowed limit for deduction u/s 80CCD(1B) is fifty thousand. ","")</f>
        <v/>
      </c>
      <c r="BM108" s="319"/>
      <c r="BN108" s="319"/>
      <c r="BO108" s="319"/>
      <c r="BP108" s="319"/>
      <c r="BQ108" s="319"/>
      <c r="BR108" s="319"/>
      <c r="BS108" s="319"/>
      <c r="BT108" s="319"/>
      <c r="BU108" s="319"/>
      <c r="BV108" s="319"/>
    </row>
    <row r="109" spans="2:74" ht="27.6" customHeight="1" x14ac:dyDescent="0.25">
      <c r="B109" s="20"/>
      <c r="C109" s="183" t="s">
        <v>134</v>
      </c>
      <c r="D109" s="189"/>
      <c r="E109" s="189"/>
      <c r="F109" s="189"/>
      <c r="G109" s="189"/>
      <c r="H109" s="189"/>
      <c r="I109" s="189"/>
      <c r="J109" s="189"/>
      <c r="K109" s="189"/>
      <c r="L109" s="189"/>
      <c r="M109" s="189"/>
      <c r="N109" s="189"/>
      <c r="O109" s="189"/>
      <c r="P109" s="189"/>
      <c r="Q109" s="189"/>
      <c r="R109" s="189"/>
      <c r="S109" s="189"/>
      <c r="T109" s="189"/>
      <c r="U109" s="189"/>
      <c r="V109" s="189"/>
      <c r="W109" s="189"/>
      <c r="X109" s="189"/>
      <c r="Y109" s="189"/>
      <c r="Z109" s="189"/>
      <c r="AA109" s="189"/>
      <c r="AB109" s="189"/>
      <c r="AC109" s="189"/>
      <c r="AD109" s="189"/>
      <c r="AE109" s="189"/>
      <c r="AF109" s="189"/>
      <c r="AG109" s="189"/>
      <c r="AH109" s="190"/>
      <c r="AI109" s="81" t="s">
        <v>5</v>
      </c>
      <c r="AJ109" s="155"/>
      <c r="AK109" s="156"/>
      <c r="AL109" s="156"/>
      <c r="AM109" s="156"/>
      <c r="AN109" s="156"/>
      <c r="AO109" s="156"/>
      <c r="AP109" s="156"/>
      <c r="AQ109" s="156"/>
      <c r="AR109" s="156"/>
      <c r="AS109" s="157"/>
      <c r="AT109" s="191"/>
      <c r="AU109" s="192"/>
      <c r="AV109" s="158">
        <f>IF(OR('Basic Information'!AN12="Statutory",'Basic Information'!AN12=""),IF(AJ109&gt;=50000,50000,AJ109),IF(AND('Basic Information'!AN12="NPS",SUM(K24,Q24)&lt;&gt;0),IF(ISNUMBER(BA30),IF(SUM(BA28,BA30,AJ109)&gt;=50000,50000,SUM(BA28,BA30,AJ109)),IF(SUM(BA28,AJ109)&gt;=50000,50000,SUM(BA28,AJ109))),0))</f>
        <v>0</v>
      </c>
      <c r="AW109" s="159"/>
      <c r="AX109" s="159"/>
      <c r="AY109" s="159"/>
      <c r="AZ109" s="159"/>
      <c r="BA109" s="159"/>
      <c r="BB109" s="159"/>
      <c r="BC109" s="159"/>
      <c r="BD109" s="159"/>
      <c r="BE109" s="159"/>
      <c r="BF109" s="159"/>
      <c r="BG109" s="159"/>
      <c r="BH109" s="159"/>
      <c r="BI109" s="159"/>
      <c r="BJ109" s="160"/>
      <c r="BL109" s="319"/>
      <c r="BM109" s="319"/>
      <c r="BN109" s="319"/>
      <c r="BO109" s="319"/>
      <c r="BP109" s="319"/>
      <c r="BQ109" s="319"/>
      <c r="BR109" s="319"/>
      <c r="BS109" s="319"/>
      <c r="BT109" s="319"/>
      <c r="BU109" s="319"/>
      <c r="BV109" s="319"/>
    </row>
    <row r="110" spans="2:74" ht="5.0999999999999996" customHeight="1" x14ac:dyDescent="0.25">
      <c r="B110" s="20"/>
      <c r="BJ110" s="26"/>
      <c r="BL110" s="319" t="str">
        <f>IF(AND(AJ111&lt;&gt;0,AC24=0),"Please ensure that the salary details are entered to avail the eligible deductions under 80CCD.",IF(AND(AV111&lt;&gt;0,AJ111&gt;AV111),"The maximum allowed limit for deduction u/s 80CCD(2) is ten per cent of the salary (Basic Pay+DA) received in the previous year. ",""))</f>
        <v/>
      </c>
      <c r="BM110" s="319"/>
      <c r="BN110" s="319"/>
      <c r="BO110" s="319"/>
      <c r="BP110" s="319"/>
      <c r="BQ110" s="319"/>
      <c r="BR110" s="319"/>
      <c r="BS110" s="319"/>
      <c r="BT110" s="319"/>
      <c r="BU110" s="319"/>
      <c r="BV110" s="319"/>
    </row>
    <row r="111" spans="2:74" ht="27.6" customHeight="1" x14ac:dyDescent="0.25">
      <c r="B111" s="20"/>
      <c r="C111" s="183" t="s">
        <v>148</v>
      </c>
      <c r="D111" s="184"/>
      <c r="E111" s="184"/>
      <c r="F111" s="184"/>
      <c r="G111" s="184"/>
      <c r="H111" s="184"/>
      <c r="I111" s="184"/>
      <c r="J111" s="184"/>
      <c r="K111" s="184"/>
      <c r="L111" s="184"/>
      <c r="M111" s="184"/>
      <c r="N111" s="184"/>
      <c r="O111" s="184"/>
      <c r="P111" s="184"/>
      <c r="Q111" s="184"/>
      <c r="R111" s="184"/>
      <c r="S111" s="184"/>
      <c r="T111" s="184"/>
      <c r="U111" s="184"/>
      <c r="V111" s="184"/>
      <c r="W111" s="184"/>
      <c r="X111" s="184"/>
      <c r="Y111" s="184"/>
      <c r="Z111" s="184"/>
      <c r="AA111" s="184"/>
      <c r="AB111" s="184"/>
      <c r="AC111" s="184"/>
      <c r="AD111" s="184"/>
      <c r="AE111" s="184"/>
      <c r="AF111" s="184"/>
      <c r="AG111" s="184"/>
      <c r="AH111" s="185"/>
      <c r="AI111" s="81" t="s">
        <v>5</v>
      </c>
      <c r="AJ111" s="187">
        <f>IF('Basic Information'!AN12="NPS",IF(ISNUMBER(BA30),SUM(BA28,BA30),BA28),0)</f>
        <v>0</v>
      </c>
      <c r="AK111" s="187"/>
      <c r="AL111" s="187"/>
      <c r="AM111" s="187"/>
      <c r="AN111" s="187"/>
      <c r="AO111" s="187"/>
      <c r="AP111" s="187"/>
      <c r="AQ111" s="187"/>
      <c r="AR111" s="187"/>
      <c r="AS111" s="187"/>
      <c r="AT111" s="164"/>
      <c r="AU111" s="164"/>
      <c r="AV111" s="186">
        <f>IF(AJ111&lt;&gt;0,BA28,0)</f>
        <v>0</v>
      </c>
      <c r="AW111" s="186"/>
      <c r="AX111" s="186"/>
      <c r="AY111" s="186"/>
      <c r="AZ111" s="186"/>
      <c r="BA111" s="186"/>
      <c r="BB111" s="186"/>
      <c r="BC111" s="186"/>
      <c r="BD111" s="186"/>
      <c r="BE111" s="186"/>
      <c r="BF111" s="186"/>
      <c r="BG111" s="186"/>
      <c r="BH111" s="186"/>
      <c r="BI111" s="186"/>
      <c r="BJ111" s="186"/>
      <c r="BL111" s="319"/>
      <c r="BM111" s="319"/>
      <c r="BN111" s="319"/>
      <c r="BO111" s="319"/>
      <c r="BP111" s="319"/>
      <c r="BQ111" s="319"/>
      <c r="BR111" s="319"/>
      <c r="BS111" s="319"/>
      <c r="BT111" s="319"/>
      <c r="BU111" s="319"/>
      <c r="BV111" s="319"/>
    </row>
    <row r="112" spans="2:74" ht="5.0999999999999996" customHeight="1" x14ac:dyDescent="0.25">
      <c r="B112" s="20"/>
      <c r="BJ112" s="26"/>
      <c r="BL112" s="319"/>
      <c r="BM112" s="319"/>
      <c r="BN112" s="319"/>
      <c r="BO112" s="319"/>
      <c r="BP112" s="319"/>
      <c r="BQ112" s="319"/>
      <c r="BR112" s="319"/>
      <c r="BS112" s="319"/>
      <c r="BT112" s="319"/>
      <c r="BU112" s="319"/>
      <c r="BV112" s="319"/>
    </row>
    <row r="113" spans="2:76" ht="15" customHeight="1" x14ac:dyDescent="0.25">
      <c r="B113" s="20"/>
      <c r="C113" s="200" t="s">
        <v>109</v>
      </c>
      <c r="D113" s="169"/>
      <c r="E113" s="169"/>
      <c r="F113" s="169"/>
      <c r="G113" s="169"/>
      <c r="H113" s="169"/>
      <c r="I113" s="169"/>
      <c r="J113" s="169"/>
      <c r="K113" s="169"/>
      <c r="L113" s="169"/>
      <c r="M113" s="169"/>
      <c r="N113" s="169"/>
      <c r="O113" s="169"/>
      <c r="P113" s="169"/>
      <c r="Q113" s="169"/>
      <c r="R113" s="169"/>
      <c r="S113" s="169"/>
      <c r="T113" s="169"/>
      <c r="U113" s="169"/>
      <c r="V113" s="169"/>
      <c r="W113" s="169"/>
      <c r="X113" s="169"/>
      <c r="Y113" s="169"/>
      <c r="Z113" s="169"/>
      <c r="AA113" s="169"/>
      <c r="AB113" s="169"/>
      <c r="AC113" s="169"/>
      <c r="AD113" s="169"/>
      <c r="AE113" s="169"/>
      <c r="AF113" s="169"/>
      <c r="AG113" s="169"/>
      <c r="AH113" s="169"/>
      <c r="AI113" s="169"/>
      <c r="AJ113" s="169"/>
      <c r="AK113" s="169"/>
      <c r="AL113" s="169"/>
      <c r="AM113" s="169"/>
      <c r="AN113" s="169"/>
      <c r="AO113" s="169"/>
      <c r="AP113" s="169"/>
      <c r="AQ113" s="169"/>
      <c r="AR113" s="169"/>
      <c r="AS113" s="169"/>
      <c r="AT113" s="169"/>
      <c r="AU113" s="169"/>
      <c r="AV113" s="169"/>
      <c r="AW113" s="169"/>
      <c r="AX113" s="169"/>
      <c r="AY113" s="169"/>
      <c r="AZ113" s="169"/>
      <c r="BA113" s="169"/>
      <c r="BB113" s="169"/>
      <c r="BC113" s="169"/>
      <c r="BD113" s="169"/>
      <c r="BE113" s="169"/>
      <c r="BF113" s="169"/>
      <c r="BG113" s="169"/>
      <c r="BH113" s="169"/>
      <c r="BI113" s="169"/>
      <c r="BJ113" s="170"/>
    </row>
    <row r="114" spans="2:76" ht="5.0999999999999996" customHeight="1" x14ac:dyDescent="0.25">
      <c r="B114" s="20"/>
      <c r="C114" s="20"/>
      <c r="BJ114" s="26"/>
    </row>
    <row r="115" spans="2:76" ht="16.5" customHeight="1" x14ac:dyDescent="0.25">
      <c r="B115" s="20"/>
      <c r="C115" s="20"/>
      <c r="D115" s="212" t="s">
        <v>110</v>
      </c>
      <c r="E115" s="213"/>
      <c r="F115" s="213"/>
      <c r="G115" s="213"/>
      <c r="H115" s="213"/>
      <c r="I115" s="213"/>
      <c r="J115" s="213"/>
      <c r="K115" s="213"/>
      <c r="L115" s="213"/>
      <c r="M115" s="213"/>
      <c r="N115" s="213"/>
      <c r="O115" s="213"/>
      <c r="P115" s="213"/>
      <c r="Q115" s="213"/>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4"/>
    </row>
    <row r="116" spans="2:76" ht="5.0999999999999996" customHeight="1" x14ac:dyDescent="0.25">
      <c r="B116" s="20"/>
      <c r="C116" s="20"/>
      <c r="D116" s="20"/>
      <c r="BJ116" s="26"/>
    </row>
    <row r="117" spans="2:76" ht="14.4" x14ac:dyDescent="0.25">
      <c r="B117" s="20"/>
      <c r="C117" s="20"/>
      <c r="D117" s="20"/>
      <c r="E117" s="195" t="s">
        <v>117</v>
      </c>
      <c r="F117" s="195"/>
      <c r="G117" s="195"/>
      <c r="H117" s="195"/>
      <c r="I117" s="195"/>
      <c r="J117" s="195"/>
      <c r="K117" s="195"/>
      <c r="L117" s="195"/>
      <c r="M117" s="195"/>
      <c r="N117" s="195"/>
      <c r="O117" s="195"/>
      <c r="P117" s="195"/>
      <c r="Q117" s="195" t="s">
        <v>116</v>
      </c>
      <c r="R117" s="195"/>
      <c r="S117" s="195"/>
      <c r="T117" s="195"/>
      <c r="U117" s="195"/>
      <c r="V117" s="195"/>
      <c r="W117" s="195"/>
      <c r="X117" s="195"/>
      <c r="Y117" s="195"/>
      <c r="Z117" s="275" t="s">
        <v>45</v>
      </c>
      <c r="AA117" s="275"/>
      <c r="AB117" s="275"/>
      <c r="AC117" s="275"/>
      <c r="AD117" s="275"/>
      <c r="AE117" s="275"/>
      <c r="AF117" s="275"/>
      <c r="AG117" s="275"/>
      <c r="AH117" s="276"/>
      <c r="AI117" s="81" t="s">
        <v>5</v>
      </c>
      <c r="AJ117" s="165"/>
      <c r="AK117" s="165"/>
      <c r="AL117" s="165"/>
      <c r="AM117" s="165"/>
      <c r="AN117" s="165"/>
      <c r="AO117" s="165"/>
      <c r="AP117" s="165"/>
      <c r="AQ117" s="165"/>
      <c r="AR117" s="165"/>
      <c r="AS117" s="165"/>
      <c r="AT117" s="164"/>
      <c r="AU117" s="164"/>
      <c r="AV117" s="186">
        <f>IF(Z117="Other than Cash",IF((AJ117+AJ119+AP24)&lt;=25000,(AJ117+AP24),IF((AJ117+AP24)&lt;25000,(AJ117+AP24),25000)),IF(AP24&lt;&gt;0,AP24,0))</f>
        <v>0</v>
      </c>
      <c r="AW117" s="186"/>
      <c r="AX117" s="186"/>
      <c r="AY117" s="186"/>
      <c r="AZ117" s="186"/>
      <c r="BA117" s="186"/>
      <c r="BB117" s="186"/>
      <c r="BC117" s="186"/>
      <c r="BD117" s="186"/>
      <c r="BE117" s="186"/>
      <c r="BF117" s="186"/>
      <c r="BG117" s="186"/>
      <c r="BH117" s="186"/>
      <c r="BI117" s="186"/>
      <c r="BJ117" s="186"/>
      <c r="BP117" s="321" t="str">
        <f>IF(AND(AJ117&lt;&gt;0, OR(ISBLANK(Z117),Z117="SELECT")),"Please select the payment mode. ",IF(AND(AJ117&lt;&gt;0, Z117="cash"),"Health Insurance premium paid in cash is not allowed for deduction u/s 80D. ",IF(AP24&lt;&gt;0,"MediSep Premium is included here.","")))</f>
        <v/>
      </c>
      <c r="BQ117" s="322"/>
      <c r="BR117" s="322"/>
      <c r="BS117" s="322"/>
      <c r="BT117" s="322"/>
      <c r="BU117" s="322"/>
      <c r="BV117" s="322"/>
      <c r="BW117" s="322"/>
    </row>
    <row r="118" spans="2:76" ht="5.0999999999999996" customHeight="1" x14ac:dyDescent="0.25">
      <c r="B118" s="20"/>
      <c r="C118" s="20"/>
      <c r="D118" s="20"/>
      <c r="BJ118" s="26"/>
      <c r="BP118" s="323" t="str">
        <f>IF(AND(Z117="Other than Cash",SUM(AJ117,AJ119,AP24)&gt;=25000,SUM(AV117,AV119)=25000),"The aggregate amount of deductions u/s 80D for self and family shall not exceed 25000 rupees. ",IF(AND(AJ119&gt;5000,SUM(AV117,AV119)&lt;25000),"The eligible amount of deductions u/s 80D in Preventive Health Checkup for self and family shall not exceed 5000 rupees. ",""))</f>
        <v/>
      </c>
      <c r="BQ118" s="324"/>
      <c r="BR118" s="324"/>
      <c r="BS118" s="324"/>
      <c r="BT118" s="324"/>
      <c r="BU118" s="324"/>
      <c r="BV118" s="324"/>
      <c r="BW118" s="324"/>
      <c r="BX118" s="320"/>
    </row>
    <row r="119" spans="2:76" x14ac:dyDescent="0.25">
      <c r="B119" s="20"/>
      <c r="C119" s="20"/>
      <c r="D119" s="20"/>
      <c r="E119" s="200" t="s">
        <v>158</v>
      </c>
      <c r="F119" s="169"/>
      <c r="G119" s="169"/>
      <c r="H119" s="169"/>
      <c r="I119" s="169"/>
      <c r="J119" s="169"/>
      <c r="K119" s="169"/>
      <c r="L119" s="169"/>
      <c r="M119" s="169"/>
      <c r="N119" s="169"/>
      <c r="O119" s="169"/>
      <c r="P119" s="169"/>
      <c r="Q119" s="169"/>
      <c r="R119" s="169"/>
      <c r="S119" s="169"/>
      <c r="T119" s="169"/>
      <c r="U119" s="169"/>
      <c r="V119" s="169"/>
      <c r="W119" s="169"/>
      <c r="X119" s="169"/>
      <c r="Y119" s="169"/>
      <c r="Z119" s="169"/>
      <c r="AA119" s="169"/>
      <c r="AB119" s="169"/>
      <c r="AC119" s="169"/>
      <c r="AD119" s="169"/>
      <c r="AE119" s="169"/>
      <c r="AF119" s="169"/>
      <c r="AG119" s="169"/>
      <c r="AH119" s="170"/>
      <c r="AI119" s="81" t="s">
        <v>5</v>
      </c>
      <c r="AJ119" s="155"/>
      <c r="AK119" s="156"/>
      <c r="AL119" s="156"/>
      <c r="AM119" s="156"/>
      <c r="AN119" s="156"/>
      <c r="AO119" s="156"/>
      <c r="AP119" s="156"/>
      <c r="AQ119" s="156"/>
      <c r="AR119" s="156"/>
      <c r="AS119" s="157"/>
      <c r="AT119" s="192"/>
      <c r="AU119" s="164"/>
      <c r="AV119" s="158">
        <f>IF(AJ119&lt;&gt;0,IF(AJ119&lt;=5000,IF((AJ119+AV117)&lt;=25000,AJ119,(25000-AV117)),IF((AJ119+AV117)&gt;25000,IF((25000-AV117)&lt;=5000,(25000-AV117),5000),5000)),0)</f>
        <v>0</v>
      </c>
      <c r="AW119" s="159"/>
      <c r="AX119" s="159"/>
      <c r="AY119" s="159"/>
      <c r="AZ119" s="159"/>
      <c r="BA119" s="159"/>
      <c r="BB119" s="159"/>
      <c r="BC119" s="159"/>
      <c r="BD119" s="159"/>
      <c r="BE119" s="159"/>
      <c r="BF119" s="159"/>
      <c r="BG119" s="159"/>
      <c r="BH119" s="159"/>
      <c r="BI119" s="159"/>
      <c r="BJ119" s="160"/>
      <c r="BP119" s="324"/>
      <c r="BQ119" s="324"/>
      <c r="BR119" s="324"/>
      <c r="BS119" s="324"/>
      <c r="BT119" s="324"/>
      <c r="BU119" s="324"/>
      <c r="BV119" s="324"/>
      <c r="BW119" s="324"/>
      <c r="BX119" s="320"/>
    </row>
    <row r="120" spans="2:76" ht="5.0999999999999996" customHeight="1" x14ac:dyDescent="0.25">
      <c r="B120" s="20"/>
      <c r="C120" s="20"/>
      <c r="D120" s="20"/>
      <c r="BJ120" s="26"/>
      <c r="BP120" s="324"/>
      <c r="BQ120" s="324"/>
      <c r="BR120" s="324"/>
      <c r="BS120" s="324"/>
      <c r="BT120" s="324"/>
      <c r="BU120" s="324"/>
      <c r="BV120" s="324"/>
      <c r="BW120" s="324"/>
      <c r="BX120" s="320"/>
    </row>
    <row r="121" spans="2:76" x14ac:dyDescent="0.25">
      <c r="B121" s="20"/>
      <c r="C121" s="20"/>
      <c r="D121" s="212" t="s">
        <v>111</v>
      </c>
      <c r="E121" s="213"/>
      <c r="F121" s="213"/>
      <c r="G121" s="213"/>
      <c r="H121" s="213"/>
      <c r="I121" s="213"/>
      <c r="J121" s="213"/>
      <c r="K121" s="169"/>
      <c r="L121" s="169"/>
      <c r="M121" s="169"/>
      <c r="N121" s="169"/>
      <c r="O121" s="169"/>
      <c r="P121" s="169"/>
      <c r="Q121" s="169"/>
      <c r="R121" s="169"/>
      <c r="S121" s="169"/>
      <c r="T121" s="169"/>
      <c r="U121" s="169"/>
      <c r="V121" s="169"/>
      <c r="W121" s="169"/>
      <c r="X121" s="169"/>
      <c r="Y121" s="169"/>
      <c r="Z121" s="169"/>
      <c r="AA121" s="169"/>
      <c r="AB121" s="169"/>
      <c r="AC121" s="169"/>
      <c r="AD121" s="169"/>
      <c r="AE121" s="169"/>
      <c r="AF121" s="169"/>
      <c r="AG121" s="169"/>
      <c r="AH121" s="169"/>
      <c r="AI121" s="169"/>
      <c r="AJ121" s="169"/>
      <c r="AK121" s="169"/>
      <c r="AL121" s="169"/>
      <c r="AM121" s="169"/>
      <c r="AN121" s="169"/>
      <c r="AO121" s="169"/>
      <c r="AP121" s="169"/>
      <c r="AQ121" s="169"/>
      <c r="AR121" s="169"/>
      <c r="AS121" s="169"/>
      <c r="AT121" s="169"/>
      <c r="AU121" s="169"/>
      <c r="AV121" s="169"/>
      <c r="AW121" s="169"/>
      <c r="AX121" s="169"/>
      <c r="AY121" s="169"/>
      <c r="AZ121" s="169"/>
      <c r="BA121" s="169"/>
      <c r="BB121" s="169"/>
      <c r="BC121" s="169"/>
      <c r="BD121" s="169"/>
      <c r="BE121" s="169"/>
      <c r="BF121" s="169"/>
      <c r="BG121" s="169"/>
      <c r="BH121" s="169"/>
      <c r="BI121" s="169"/>
      <c r="BJ121" s="170"/>
    </row>
    <row r="122" spans="2:76" ht="5.0999999999999996" customHeight="1" x14ac:dyDescent="0.25">
      <c r="B122" s="20"/>
      <c r="C122" s="20"/>
      <c r="D122" s="20"/>
      <c r="BJ122" s="26"/>
    </row>
    <row r="123" spans="2:76" s="47" customFormat="1" ht="15" customHeight="1" x14ac:dyDescent="0.3">
      <c r="B123" s="24"/>
      <c r="C123" s="24"/>
      <c r="D123" s="77"/>
      <c r="E123" s="151" t="s">
        <v>195</v>
      </c>
      <c r="F123" s="154"/>
      <c r="G123" s="154"/>
      <c r="H123" s="154"/>
      <c r="I123" s="154"/>
      <c r="J123" s="154"/>
      <c r="K123" s="154"/>
      <c r="L123" s="154"/>
      <c r="M123" s="154"/>
      <c r="N123" s="154"/>
      <c r="O123" s="154"/>
      <c r="P123" s="154"/>
      <c r="Q123" s="154"/>
      <c r="R123" s="154"/>
      <c r="S123" s="154"/>
      <c r="T123" s="154"/>
      <c r="U123" s="154"/>
      <c r="V123" s="154"/>
      <c r="W123" s="154"/>
      <c r="X123" s="154"/>
      <c r="Y123" s="154"/>
      <c r="Z123" s="154"/>
      <c r="AA123" s="154"/>
      <c r="AB123" s="207"/>
      <c r="AC123" s="217" t="s">
        <v>45</v>
      </c>
      <c r="AD123" s="177"/>
      <c r="AE123" s="177"/>
      <c r="AF123" s="177"/>
      <c r="AG123" s="218"/>
      <c r="AH123" s="131"/>
      <c r="AI123" s="277"/>
      <c r="AJ123" s="277"/>
      <c r="AK123" s="277"/>
      <c r="AL123" s="277"/>
      <c r="AM123" s="277"/>
      <c r="AN123" s="277"/>
      <c r="AO123" s="277"/>
      <c r="AP123" s="277"/>
      <c r="AQ123" s="277"/>
      <c r="AR123" s="277"/>
      <c r="AS123" s="277"/>
      <c r="AT123" s="277"/>
      <c r="AU123" s="277"/>
      <c r="AV123" s="277"/>
      <c r="AW123" s="277"/>
      <c r="AX123" s="277"/>
      <c r="AY123" s="277"/>
      <c r="AZ123" s="277"/>
      <c r="BA123" s="277"/>
      <c r="BB123" s="277"/>
      <c r="BC123" s="277"/>
      <c r="BD123" s="277"/>
      <c r="BE123" s="277"/>
      <c r="BF123" s="277"/>
      <c r="BG123" s="277"/>
      <c r="BH123" s="277"/>
      <c r="BI123" s="277"/>
      <c r="BJ123" s="278"/>
      <c r="BP123" s="80" t="str">
        <f>IF(AND(OR(AJ125&lt;&gt;0,AJ127&lt;&gt;0,AJ129&lt;&gt;0), OR(ISBLANK(AC123),AC123="SELECT")),"Please answer the question related to parents.","")</f>
        <v/>
      </c>
    </row>
    <row r="124" spans="2:76" ht="5.0999999999999996" customHeight="1" x14ac:dyDescent="0.25">
      <c r="B124" s="20"/>
      <c r="C124" s="20"/>
      <c r="D124" s="20"/>
      <c r="BJ124" s="26"/>
    </row>
    <row r="125" spans="2:76" x14ac:dyDescent="0.25">
      <c r="B125" s="20"/>
      <c r="C125" s="20"/>
      <c r="D125" s="20"/>
      <c r="E125" s="200" t="s">
        <v>117</v>
      </c>
      <c r="F125" s="169"/>
      <c r="G125" s="169"/>
      <c r="H125" s="169"/>
      <c r="I125" s="169"/>
      <c r="J125" s="169"/>
      <c r="K125" s="169"/>
      <c r="L125" s="169"/>
      <c r="M125" s="169"/>
      <c r="N125" s="169"/>
      <c r="O125" s="169"/>
      <c r="P125" s="170"/>
      <c r="Q125" s="200" t="s">
        <v>116</v>
      </c>
      <c r="R125" s="169"/>
      <c r="S125" s="169"/>
      <c r="T125" s="169"/>
      <c r="U125" s="169"/>
      <c r="V125" s="169"/>
      <c r="W125" s="169"/>
      <c r="X125" s="169"/>
      <c r="Y125" s="170"/>
      <c r="Z125" s="279" t="s">
        <v>45</v>
      </c>
      <c r="AA125" s="280"/>
      <c r="AB125" s="280"/>
      <c r="AC125" s="280"/>
      <c r="AD125" s="280"/>
      <c r="AE125" s="280"/>
      <c r="AF125" s="280"/>
      <c r="AG125" s="280"/>
      <c r="AH125" s="281"/>
      <c r="AI125" s="83" t="s">
        <v>5</v>
      </c>
      <c r="AJ125" s="155"/>
      <c r="AK125" s="156"/>
      <c r="AL125" s="156"/>
      <c r="AM125" s="156"/>
      <c r="AN125" s="156"/>
      <c r="AO125" s="156"/>
      <c r="AP125" s="156"/>
      <c r="AQ125" s="156"/>
      <c r="AR125" s="156"/>
      <c r="AS125" s="157"/>
      <c r="AT125" s="164"/>
      <c r="AU125" s="164"/>
      <c r="AV125" s="158">
        <f>IF(AC123="Yes",IF(Z125="Other than Cash",IF((AJ125+AJ127)&lt;=50000,AJ125,IF(AJ125&lt;50000,AJ125,50000)),0),IF(Z125="Other than Cash",IF((AJ125+AJ127)&lt;=25000,AJ125,IF(AJ125&lt;25000,AJ125,25000)),0))</f>
        <v>0</v>
      </c>
      <c r="AW125" s="159"/>
      <c r="AX125" s="159"/>
      <c r="AY125" s="159"/>
      <c r="AZ125" s="159"/>
      <c r="BA125" s="159"/>
      <c r="BB125" s="159"/>
      <c r="BC125" s="159"/>
      <c r="BD125" s="159"/>
      <c r="BE125" s="159"/>
      <c r="BF125" s="159"/>
      <c r="BG125" s="159"/>
      <c r="BH125" s="159"/>
      <c r="BI125" s="159"/>
      <c r="BJ125" s="160"/>
      <c r="BP125" s="35" t="str">
        <f>IF(AND(AJ125&lt;&gt;0, OR(ISBLANK(Z125),Z125="SELECT")),"Please select the payment mode. ",IF(AND(AJ125&lt;&gt;0, Z125="cash"),"Health Insurance premium paid in cash is not allowed for deduction u/s 80D. ",""))</f>
        <v/>
      </c>
    </row>
    <row r="126" spans="2:76" ht="5.0999999999999996" customHeight="1" x14ac:dyDescent="0.25">
      <c r="B126" s="20"/>
      <c r="C126" s="20"/>
      <c r="D126" s="20"/>
      <c r="BJ126" s="26"/>
      <c r="BP126" s="323" t="str">
        <f>IF(AND(AC123="yes",OR(Z125="Other than Cash",Z129="Other than Cash"),SUM(AV125,AV127,AV129)=50000,SUM(AJ125,AJ127,AJ129)&gt;=50000),"The aggregate amount of deductions u/s 80D for senior citizen parents shall not exceed 50000 rupees.",IF(AND(AC123="no",Z125="Other than Cash",SUM(AV125,AV127)=25000,SUM(AJ125,AJ127)&gt;=25000),"The aggregate amount of deductions u/s 80D for parents shall not exceed 25000 rupees.",IF(AND(SUM(AV119,AV127)=5000,SUM(AJ119,AJ127)&gt;5000,AJ127&lt;&gt;0),"The aggregate amount of deductions u/s 80D in Preventive Health Checkup for self and family and parents shall not exceed 5000 rupees.","")))</f>
        <v/>
      </c>
      <c r="BQ126" s="324"/>
      <c r="BR126" s="324"/>
      <c r="BS126" s="324"/>
      <c r="BT126" s="324"/>
      <c r="BU126" s="324"/>
      <c r="BV126" s="324"/>
      <c r="BW126" s="324"/>
      <c r="BX126" s="324"/>
    </row>
    <row r="127" spans="2:76" x14ac:dyDescent="0.25">
      <c r="B127" s="20"/>
      <c r="C127" s="20"/>
      <c r="D127" s="20"/>
      <c r="E127" s="200" t="s">
        <v>158</v>
      </c>
      <c r="F127" s="169"/>
      <c r="G127" s="169"/>
      <c r="H127" s="169"/>
      <c r="I127" s="169"/>
      <c r="J127" s="169"/>
      <c r="K127" s="169"/>
      <c r="L127" s="169"/>
      <c r="M127" s="169"/>
      <c r="N127" s="169"/>
      <c r="O127" s="169"/>
      <c r="P127" s="169"/>
      <c r="Q127" s="169"/>
      <c r="R127" s="169"/>
      <c r="S127" s="169"/>
      <c r="T127" s="169"/>
      <c r="U127" s="169"/>
      <c r="V127" s="169"/>
      <c r="W127" s="169"/>
      <c r="X127" s="169"/>
      <c r="Y127" s="169"/>
      <c r="Z127" s="169"/>
      <c r="AA127" s="169"/>
      <c r="AB127" s="169"/>
      <c r="AC127" s="169"/>
      <c r="AD127" s="169"/>
      <c r="AE127" s="169"/>
      <c r="AF127" s="169"/>
      <c r="AG127" s="169"/>
      <c r="AH127" s="170"/>
      <c r="AI127" s="81" t="s">
        <v>5</v>
      </c>
      <c r="AJ127" s="155"/>
      <c r="AK127" s="156"/>
      <c r="AL127" s="156"/>
      <c r="AM127" s="156"/>
      <c r="AN127" s="156"/>
      <c r="AO127" s="156"/>
      <c r="AP127" s="156"/>
      <c r="AQ127" s="156"/>
      <c r="AR127" s="156"/>
      <c r="AS127" s="157"/>
      <c r="AT127" s="164"/>
      <c r="AU127" s="164"/>
      <c r="AV127" s="158">
        <f>IF(AND(AC123="Yes",AJ127&lt;&gt;0,AV129=0),IF(AV125+AJ127&lt;=50000,IF(AJ127&lt;=(5000-AV119),AJ127,(5000-AV119)),IF((50000-AV125)&lt;=(5000-AV119),(50000-AV125),(5000-AV119))),IF(AND(AC123="Yes",AJ127&lt;&gt;0,AV125=0),IF(AV129+AJ127&lt;=50000,IF(AJ127&lt;=(5000-AV119),AJ127,(5000-AV119)),IF((50000-AV129)&lt;=(5000-AV119),(50000-AV129),(5000-AV119))),IF(AND(AC123="No",AJ127&lt;&gt;0,AV129=0),IF(AV125+AJ127&lt;=25000,IF(AJ127&lt;=(5000-AV119),AJ127,(5000-AV119)),IF((25000-AV125)&lt;=(5000-AV119),(25000-AV125),(5000-AV119))),0)))</f>
        <v>0</v>
      </c>
      <c r="AW127" s="159"/>
      <c r="AX127" s="159"/>
      <c r="AY127" s="159"/>
      <c r="AZ127" s="159"/>
      <c r="BA127" s="159"/>
      <c r="BB127" s="159"/>
      <c r="BC127" s="159"/>
      <c r="BD127" s="159"/>
      <c r="BE127" s="159"/>
      <c r="BF127" s="159"/>
      <c r="BG127" s="159"/>
      <c r="BH127" s="159"/>
      <c r="BI127" s="159"/>
      <c r="BJ127" s="160"/>
      <c r="BP127" s="324"/>
      <c r="BQ127" s="324"/>
      <c r="BR127" s="324"/>
      <c r="BS127" s="324"/>
      <c r="BT127" s="324"/>
      <c r="BU127" s="324"/>
      <c r="BV127" s="324"/>
      <c r="BW127" s="324"/>
      <c r="BX127" s="324"/>
    </row>
    <row r="128" spans="2:76" ht="5.0999999999999996" customHeight="1" x14ac:dyDescent="0.25">
      <c r="B128" s="20"/>
      <c r="C128" s="20"/>
      <c r="D128" s="20"/>
      <c r="BJ128" s="26"/>
      <c r="BP128" s="324"/>
      <c r="BQ128" s="324"/>
      <c r="BR128" s="324"/>
      <c r="BS128" s="324"/>
      <c r="BT128" s="324"/>
      <c r="BU128" s="324"/>
      <c r="BV128" s="324"/>
      <c r="BW128" s="324"/>
      <c r="BX128" s="324"/>
    </row>
    <row r="129" spans="2:77" x14ac:dyDescent="0.25">
      <c r="B129" s="20"/>
      <c r="C129" s="20"/>
      <c r="D129" s="22"/>
      <c r="E129" s="200" t="s">
        <v>118</v>
      </c>
      <c r="F129" s="169"/>
      <c r="G129" s="169"/>
      <c r="H129" s="169"/>
      <c r="I129" s="169"/>
      <c r="J129" s="169"/>
      <c r="K129" s="169"/>
      <c r="L129" s="169"/>
      <c r="M129" s="169"/>
      <c r="N129" s="169"/>
      <c r="O129" s="169"/>
      <c r="P129" s="170"/>
      <c r="Q129" s="200" t="s">
        <v>116</v>
      </c>
      <c r="R129" s="169"/>
      <c r="S129" s="169"/>
      <c r="T129" s="169"/>
      <c r="U129" s="169"/>
      <c r="V129" s="169"/>
      <c r="W129" s="169"/>
      <c r="X129" s="169"/>
      <c r="Y129" s="170"/>
      <c r="Z129" s="279" t="s">
        <v>45</v>
      </c>
      <c r="AA129" s="280"/>
      <c r="AB129" s="280"/>
      <c r="AC129" s="280"/>
      <c r="AD129" s="280"/>
      <c r="AE129" s="280"/>
      <c r="AF129" s="280"/>
      <c r="AG129" s="280"/>
      <c r="AH129" s="281"/>
      <c r="AI129" s="81" t="s">
        <v>5</v>
      </c>
      <c r="AJ129" s="155"/>
      <c r="AK129" s="156"/>
      <c r="AL129" s="156"/>
      <c r="AM129" s="156"/>
      <c r="AN129" s="156"/>
      <c r="AO129" s="156"/>
      <c r="AP129" s="156"/>
      <c r="AQ129" s="156"/>
      <c r="AR129" s="156"/>
      <c r="AS129" s="157"/>
      <c r="AT129" s="164"/>
      <c r="AU129" s="164"/>
      <c r="AV129" s="158">
        <f>IF(AND(AC123="Yes",Z129="Other than Cash"),IF(AV125=0,IF(AJ129&lt;=50000,AJ129,50000),0),0)</f>
        <v>0</v>
      </c>
      <c r="AW129" s="159"/>
      <c r="AX129" s="159"/>
      <c r="AY129" s="159"/>
      <c r="AZ129" s="159"/>
      <c r="BA129" s="159"/>
      <c r="BB129" s="159"/>
      <c r="BC129" s="159"/>
      <c r="BD129" s="159"/>
      <c r="BE129" s="159"/>
      <c r="BF129" s="159"/>
      <c r="BG129" s="159"/>
      <c r="BH129" s="159"/>
      <c r="BI129" s="159"/>
      <c r="BJ129" s="160"/>
      <c r="BP129" s="319" t="str">
        <f>IF(AND(AJ129&lt;&gt;0, OR(ISBLANK(Z129),Z129="SELECT")),"Please select the payment mode. ",IF(AND(AJ129&lt;&gt;0, Z129="cash"),"Any payment made in cash for Medical expenditure is not allowed for deduction u/s 80D. ", IF(AND(AC123="No",AJ129&lt;&gt;0),"You are not eligible for medical expenditure deduction u/s 80D, since neither of your parents is a senior citizen.", IF(AND(AC123="yes",AV125&lt;&gt;0,AJ129&lt;&gt;0),"You are not eligible for the medical expenditure deduction u/s 80D since your parents have health insurance.",IF(AV129&lt;&gt;0,"Please furnish a statement containing the particulars of expenditures within such a period to the income-tax authority in such form and manner as may be prescribed.","")))))</f>
        <v/>
      </c>
      <c r="BQ129" s="320"/>
      <c r="BR129" s="320"/>
      <c r="BS129" s="320"/>
      <c r="BT129" s="320"/>
      <c r="BU129" s="320"/>
      <c r="BV129" s="320"/>
      <c r="BW129" s="320"/>
      <c r="BX129" s="320"/>
      <c r="BY129" s="320"/>
    </row>
    <row r="130" spans="2:77" ht="5.0999999999999996" customHeight="1" x14ac:dyDescent="0.25">
      <c r="B130" s="20"/>
      <c r="C130" s="20"/>
      <c r="BJ130" s="26"/>
      <c r="BP130" s="132"/>
      <c r="BQ130" s="132"/>
      <c r="BR130" s="132"/>
      <c r="BS130" s="132"/>
      <c r="BT130" s="132"/>
      <c r="BU130" s="132"/>
      <c r="BV130" s="132"/>
      <c r="BW130" s="132"/>
      <c r="BX130" s="132"/>
      <c r="BY130" s="132"/>
    </row>
    <row r="131" spans="2:77" x14ac:dyDescent="0.25">
      <c r="B131" s="20"/>
      <c r="C131" s="200" t="s">
        <v>115</v>
      </c>
      <c r="D131" s="169"/>
      <c r="E131" s="169"/>
      <c r="F131" s="169"/>
      <c r="G131" s="169"/>
      <c r="H131" s="169"/>
      <c r="I131" s="169"/>
      <c r="J131" s="169"/>
      <c r="K131" s="169"/>
      <c r="L131" s="169"/>
      <c r="M131" s="169"/>
      <c r="N131" s="169"/>
      <c r="O131" s="169"/>
      <c r="P131" s="169"/>
      <c r="Q131" s="169"/>
      <c r="R131" s="169"/>
      <c r="S131" s="169"/>
      <c r="T131" s="169"/>
      <c r="U131" s="169"/>
      <c r="V131" s="169"/>
      <c r="W131" s="169"/>
      <c r="X131" s="169"/>
      <c r="Y131" s="169"/>
      <c r="Z131" s="169"/>
      <c r="AA131" s="169"/>
      <c r="AB131" s="169"/>
      <c r="AC131" s="169"/>
      <c r="AD131" s="169"/>
      <c r="AE131" s="169"/>
      <c r="AF131" s="169"/>
      <c r="AG131" s="169"/>
      <c r="AH131" s="170"/>
      <c r="AI131" s="81" t="s">
        <v>5</v>
      </c>
      <c r="AJ131" s="161">
        <f>SUM(AP24,AJ117,AJ119,AJ125,AJ127,AJ129)</f>
        <v>0</v>
      </c>
      <c r="AK131" s="162"/>
      <c r="AL131" s="162"/>
      <c r="AM131" s="162"/>
      <c r="AN131" s="162"/>
      <c r="AO131" s="162"/>
      <c r="AP131" s="162"/>
      <c r="AQ131" s="162"/>
      <c r="AR131" s="162"/>
      <c r="AS131" s="163"/>
      <c r="AT131" s="164"/>
      <c r="AU131" s="164"/>
      <c r="AV131" s="158">
        <f>SUM(AV117,AV119,AV125,AV127,AV129)</f>
        <v>0</v>
      </c>
      <c r="AW131" s="159"/>
      <c r="AX131" s="159"/>
      <c r="AY131" s="159"/>
      <c r="AZ131" s="159"/>
      <c r="BA131" s="159"/>
      <c r="BB131" s="159"/>
      <c r="BC131" s="159"/>
      <c r="BD131" s="159"/>
      <c r="BE131" s="159"/>
      <c r="BF131" s="159"/>
      <c r="BG131" s="159"/>
      <c r="BH131" s="159"/>
      <c r="BI131" s="159"/>
      <c r="BJ131" s="160"/>
      <c r="BP131" s="132"/>
      <c r="BQ131" s="132"/>
      <c r="BR131" s="132"/>
      <c r="BS131" s="132"/>
      <c r="BT131" s="132"/>
      <c r="BU131" s="132"/>
      <c r="BV131" s="132"/>
      <c r="BW131" s="132"/>
      <c r="BX131" s="132"/>
      <c r="BY131" s="132"/>
    </row>
    <row r="132" spans="2:77" ht="5.0999999999999996" customHeight="1" x14ac:dyDescent="0.25">
      <c r="B132" s="20"/>
      <c r="BJ132" s="26"/>
      <c r="BP132" s="319" t="str">
        <f>IF(AND(AJ133&lt;&gt;0, OR(ISBLANK(Y133),Y133="SELECT")),"Please select the disability level ",IF(AND(AJ133&gt;125000, Y133="Dependent Person with Severe Disability"), "The maximum deduction allowed u/s 80DD for a dependent with a severe disability is Rs. 125,000. Please ensure to submit FORM NO. 10-IA.",IF(AND(AJ133&gt;75000, Y133="Dependent Person with Disability"), "The maximum deduction allowed u/s 80DD for a dependent with a disability is Rs. 75,000. Please ensure to submit FORM NO. 10-IA.","")))</f>
        <v/>
      </c>
      <c r="BQ132" s="327"/>
      <c r="BR132" s="327"/>
      <c r="BS132" s="327"/>
      <c r="BT132" s="327"/>
      <c r="BU132" s="327"/>
      <c r="BV132" s="327"/>
      <c r="BW132" s="327"/>
    </row>
    <row r="133" spans="2:77" ht="25.5" customHeight="1" x14ac:dyDescent="0.25">
      <c r="B133" s="20"/>
      <c r="C133" s="180" t="s">
        <v>161</v>
      </c>
      <c r="D133" s="154"/>
      <c r="E133" s="154"/>
      <c r="F133" s="154"/>
      <c r="G133" s="154"/>
      <c r="H133" s="154"/>
      <c r="I133" s="154"/>
      <c r="J133" s="154"/>
      <c r="K133" s="154"/>
      <c r="L133" s="154"/>
      <c r="M133" s="154"/>
      <c r="N133" s="154"/>
      <c r="O133" s="154"/>
      <c r="P133" s="154"/>
      <c r="Q133" s="154"/>
      <c r="R133" s="154"/>
      <c r="S133" s="154"/>
      <c r="T133" s="154"/>
      <c r="U133" s="154"/>
      <c r="V133" s="154"/>
      <c r="W133" s="154"/>
      <c r="X133" s="207"/>
      <c r="Y133" s="176"/>
      <c r="Z133" s="204"/>
      <c r="AA133" s="204"/>
      <c r="AB133" s="204"/>
      <c r="AC133" s="204"/>
      <c r="AD133" s="204"/>
      <c r="AE133" s="204"/>
      <c r="AF133" s="205"/>
      <c r="AG133" s="205"/>
      <c r="AH133" s="206"/>
      <c r="AI133" s="81" t="s">
        <v>5</v>
      </c>
      <c r="AJ133" s="155"/>
      <c r="AK133" s="156"/>
      <c r="AL133" s="156"/>
      <c r="AM133" s="156"/>
      <c r="AN133" s="156"/>
      <c r="AO133" s="156"/>
      <c r="AP133" s="156"/>
      <c r="AQ133" s="156"/>
      <c r="AR133" s="156"/>
      <c r="AS133" s="157"/>
      <c r="AT133" s="164"/>
      <c r="AU133" s="164"/>
      <c r="AV133" s="158">
        <f>IF(AND(AJ133&lt;&gt;0, Y133="Dependent Person with Severe Disability"), IF(AJ133&lt;=125000,AJ133,125000), IF(AND(AJ133&lt;&gt;0, Y133="Dependent Person with Disability"), IF(AJ133&lt;=75000,AJ133,75000),0))</f>
        <v>0</v>
      </c>
      <c r="AW133" s="159"/>
      <c r="AX133" s="159"/>
      <c r="AY133" s="159"/>
      <c r="AZ133" s="159"/>
      <c r="BA133" s="159"/>
      <c r="BB133" s="159"/>
      <c r="BC133" s="159"/>
      <c r="BD133" s="159"/>
      <c r="BE133" s="159"/>
      <c r="BF133" s="159"/>
      <c r="BG133" s="159"/>
      <c r="BH133" s="159"/>
      <c r="BI133" s="159"/>
      <c r="BJ133" s="160"/>
      <c r="BP133" s="327"/>
      <c r="BQ133" s="327"/>
      <c r="BR133" s="327"/>
      <c r="BS133" s="327"/>
      <c r="BT133" s="327"/>
      <c r="BU133" s="327"/>
      <c r="BV133" s="327"/>
      <c r="BW133" s="327"/>
    </row>
    <row r="134" spans="2:77" ht="5.0999999999999996" customHeight="1" x14ac:dyDescent="0.25">
      <c r="B134" s="20"/>
      <c r="BJ134" s="26"/>
      <c r="BP134" s="319" t="str">
        <f>IF(AND(AJ135&lt;&gt;0, OR(ISBLANK(Y135),Y135="SELECT")),"Please select an option to specify for whom the medical treatment is done. ",IF(AND(AJ135&gt;100000, Y135="Self or Dependent - Senior Citizen"), "The maximum deduction allowed u/s 80DDB for Self or Dependent - Senior Citizen is Rs. 100,000.",IF(AND(AJ135&gt;40000, Y135="Self or Dependent"), "The maximum deduction allowed u/s 80DDB for Self or Dependent is Rs. 40,000.","")))</f>
        <v/>
      </c>
      <c r="BQ134" s="319"/>
      <c r="BR134" s="319"/>
      <c r="BS134" s="319"/>
      <c r="BT134" s="319"/>
      <c r="BU134" s="319"/>
      <c r="BV134" s="319"/>
      <c r="BW134" s="319"/>
    </row>
    <row r="135" spans="2:77" ht="23.25" customHeight="1" x14ac:dyDescent="0.25">
      <c r="B135" s="20"/>
      <c r="C135" s="180" t="s">
        <v>112</v>
      </c>
      <c r="D135" s="181"/>
      <c r="E135" s="181"/>
      <c r="F135" s="181"/>
      <c r="G135" s="181"/>
      <c r="H135" s="181"/>
      <c r="I135" s="181"/>
      <c r="J135" s="181"/>
      <c r="K135" s="181"/>
      <c r="L135" s="181"/>
      <c r="M135" s="181"/>
      <c r="N135" s="181"/>
      <c r="O135" s="181"/>
      <c r="P135" s="181"/>
      <c r="Q135" s="181"/>
      <c r="R135" s="181"/>
      <c r="S135" s="181"/>
      <c r="T135" s="181"/>
      <c r="U135" s="181"/>
      <c r="V135" s="181"/>
      <c r="W135" s="181"/>
      <c r="X135" s="182"/>
      <c r="Y135" s="176"/>
      <c r="Z135" s="177"/>
      <c r="AA135" s="177"/>
      <c r="AB135" s="177"/>
      <c r="AC135" s="177"/>
      <c r="AD135" s="177"/>
      <c r="AE135" s="177"/>
      <c r="AF135" s="178"/>
      <c r="AG135" s="178"/>
      <c r="AH135" s="179"/>
      <c r="AI135" s="81" t="s">
        <v>5</v>
      </c>
      <c r="AJ135" s="155"/>
      <c r="AK135" s="156"/>
      <c r="AL135" s="156"/>
      <c r="AM135" s="156"/>
      <c r="AN135" s="156"/>
      <c r="AO135" s="156"/>
      <c r="AP135" s="156"/>
      <c r="AQ135" s="156"/>
      <c r="AR135" s="156"/>
      <c r="AS135" s="157"/>
      <c r="AT135" s="164"/>
      <c r="AU135" s="164"/>
      <c r="AV135" s="158">
        <f>IF(AND(AJ135&lt;&gt;0, Y135="Self or Dependent - Senior Citizen"), IF(AJ135&lt;=100000,AJ135,100000),IF(AND(AJ135&lt;&gt;0, Y135="Self or Dependent"),  IF(AJ135&lt;=40000,AJ135,40000),0))</f>
        <v>0</v>
      </c>
      <c r="AW135" s="159"/>
      <c r="AX135" s="159"/>
      <c r="AY135" s="159"/>
      <c r="AZ135" s="159"/>
      <c r="BA135" s="159"/>
      <c r="BB135" s="159"/>
      <c r="BC135" s="159"/>
      <c r="BD135" s="159"/>
      <c r="BE135" s="159"/>
      <c r="BF135" s="159"/>
      <c r="BG135" s="159"/>
      <c r="BH135" s="159"/>
      <c r="BI135" s="159"/>
      <c r="BJ135" s="160"/>
      <c r="BP135" s="319"/>
      <c r="BQ135" s="319"/>
      <c r="BR135" s="319"/>
      <c r="BS135" s="319"/>
      <c r="BT135" s="319"/>
      <c r="BU135" s="319"/>
      <c r="BV135" s="319"/>
      <c r="BW135" s="319"/>
    </row>
    <row r="136" spans="2:77" ht="5.0999999999999996" customHeight="1" x14ac:dyDescent="0.25">
      <c r="B136" s="20"/>
      <c r="BJ136" s="26"/>
    </row>
    <row r="137" spans="2:77" ht="20.100000000000001" customHeight="1" x14ac:dyDescent="0.25">
      <c r="B137" s="20"/>
      <c r="C137" s="151" t="s">
        <v>113</v>
      </c>
      <c r="D137" s="169"/>
      <c r="E137" s="169"/>
      <c r="F137" s="169"/>
      <c r="G137" s="169"/>
      <c r="H137" s="169"/>
      <c r="I137" s="169"/>
      <c r="J137" s="169"/>
      <c r="K137" s="169"/>
      <c r="L137" s="169"/>
      <c r="M137" s="169"/>
      <c r="N137" s="169"/>
      <c r="O137" s="169"/>
      <c r="P137" s="169"/>
      <c r="Q137" s="169"/>
      <c r="R137" s="169"/>
      <c r="S137" s="169"/>
      <c r="T137" s="169"/>
      <c r="U137" s="169"/>
      <c r="V137" s="169"/>
      <c r="W137" s="169"/>
      <c r="X137" s="169"/>
      <c r="Y137" s="169"/>
      <c r="Z137" s="169"/>
      <c r="AA137" s="169"/>
      <c r="AB137" s="169"/>
      <c r="AC137" s="169"/>
      <c r="AD137" s="169"/>
      <c r="AE137" s="169"/>
      <c r="AF137" s="169"/>
      <c r="AG137" s="169"/>
      <c r="AH137" s="170"/>
      <c r="AI137" s="81" t="s">
        <v>5</v>
      </c>
      <c r="AJ137" s="155"/>
      <c r="AK137" s="156"/>
      <c r="AL137" s="156"/>
      <c r="AM137" s="156"/>
      <c r="AN137" s="156"/>
      <c r="AO137" s="156"/>
      <c r="AP137" s="156"/>
      <c r="AQ137" s="156"/>
      <c r="AR137" s="156"/>
      <c r="AS137" s="157"/>
      <c r="AT137" s="164"/>
      <c r="AU137" s="164"/>
      <c r="AV137" s="158">
        <f>IF(AJ137&lt;=AV74,AJ137,AV74)</f>
        <v>0</v>
      </c>
      <c r="AW137" s="159"/>
      <c r="AX137" s="159"/>
      <c r="AY137" s="159"/>
      <c r="AZ137" s="159"/>
      <c r="BA137" s="159"/>
      <c r="BB137" s="159"/>
      <c r="BC137" s="159"/>
      <c r="BD137" s="159"/>
      <c r="BE137" s="159"/>
      <c r="BF137" s="159"/>
      <c r="BG137" s="159"/>
      <c r="BH137" s="159"/>
      <c r="BI137" s="159"/>
      <c r="BJ137" s="160"/>
    </row>
    <row r="138" spans="2:77" ht="5.0999999999999996" customHeight="1" x14ac:dyDescent="0.25">
      <c r="B138" s="20"/>
      <c r="BJ138" s="26"/>
    </row>
    <row r="139" spans="2:77" ht="27.6" customHeight="1" x14ac:dyDescent="0.25">
      <c r="B139" s="20"/>
      <c r="C139" s="183" t="s">
        <v>119</v>
      </c>
      <c r="D139" s="184"/>
      <c r="E139" s="184"/>
      <c r="F139" s="184"/>
      <c r="G139" s="184"/>
      <c r="H139" s="184"/>
      <c r="I139" s="184"/>
      <c r="J139" s="184"/>
      <c r="K139" s="184"/>
      <c r="L139" s="184"/>
      <c r="M139" s="184"/>
      <c r="N139" s="184"/>
      <c r="O139" s="184"/>
      <c r="P139" s="184"/>
      <c r="Q139" s="184"/>
      <c r="R139" s="184"/>
      <c r="S139" s="184"/>
      <c r="T139" s="184"/>
      <c r="U139" s="184"/>
      <c r="V139" s="184"/>
      <c r="W139" s="184"/>
      <c r="X139" s="184"/>
      <c r="Y139" s="184"/>
      <c r="Z139" s="184"/>
      <c r="AA139" s="184"/>
      <c r="AB139" s="184"/>
      <c r="AC139" s="184"/>
      <c r="AD139" s="184"/>
      <c r="AE139" s="184"/>
      <c r="AF139" s="184"/>
      <c r="AG139" s="184"/>
      <c r="AH139" s="185"/>
      <c r="AI139" s="81" t="s">
        <v>5</v>
      </c>
      <c r="AJ139" s="155"/>
      <c r="AK139" s="156"/>
      <c r="AL139" s="156"/>
      <c r="AM139" s="156"/>
      <c r="AN139" s="156"/>
      <c r="AO139" s="156"/>
      <c r="AP139" s="156"/>
      <c r="AQ139" s="156"/>
      <c r="AR139" s="156"/>
      <c r="AS139" s="157"/>
      <c r="AT139" s="164"/>
      <c r="AU139" s="164"/>
      <c r="AV139" s="158">
        <f>IF(AJ139&lt;=50000,AJ139,50000)</f>
        <v>0</v>
      </c>
      <c r="AW139" s="159"/>
      <c r="AX139" s="159"/>
      <c r="AY139" s="159"/>
      <c r="AZ139" s="159"/>
      <c r="BA139" s="159"/>
      <c r="BB139" s="159"/>
      <c r="BC139" s="159"/>
      <c r="BD139" s="159"/>
      <c r="BE139" s="159"/>
      <c r="BF139" s="159"/>
      <c r="BG139" s="159"/>
      <c r="BH139" s="159"/>
      <c r="BI139" s="159"/>
      <c r="BJ139" s="160"/>
      <c r="BP139" s="325" t="str">
        <f>IF(AJ139&gt;50000,"The maximum deduction allowed u/s 80EE is Rs. 50,000.","")</f>
        <v/>
      </c>
      <c r="BQ139" s="326"/>
      <c r="BR139" s="326"/>
      <c r="BS139" s="326"/>
      <c r="BT139" s="326"/>
      <c r="BU139" s="326"/>
      <c r="BV139" s="326"/>
      <c r="BW139" s="326"/>
    </row>
    <row r="140" spans="2:77" ht="5.0999999999999996" customHeight="1" x14ac:dyDescent="0.25">
      <c r="B140" s="20"/>
      <c r="BJ140" s="26"/>
    </row>
    <row r="141" spans="2:77" ht="27.6" customHeight="1" x14ac:dyDescent="0.25">
      <c r="B141" s="20"/>
      <c r="C141" s="183" t="s">
        <v>203</v>
      </c>
      <c r="D141" s="184"/>
      <c r="E141" s="184"/>
      <c r="F141" s="184"/>
      <c r="G141" s="184"/>
      <c r="H141" s="184"/>
      <c r="I141" s="184"/>
      <c r="J141" s="184"/>
      <c r="K141" s="184"/>
      <c r="L141" s="184"/>
      <c r="M141" s="184"/>
      <c r="N141" s="184"/>
      <c r="O141" s="184"/>
      <c r="P141" s="184"/>
      <c r="Q141" s="184"/>
      <c r="R141" s="184"/>
      <c r="S141" s="184"/>
      <c r="T141" s="184"/>
      <c r="U141" s="184"/>
      <c r="V141" s="184"/>
      <c r="W141" s="184"/>
      <c r="X141" s="184"/>
      <c r="Y141" s="184"/>
      <c r="Z141" s="184"/>
      <c r="AA141" s="184"/>
      <c r="AB141" s="184"/>
      <c r="AC141" s="184"/>
      <c r="AD141" s="184"/>
      <c r="AE141" s="184"/>
      <c r="AF141" s="184"/>
      <c r="AG141" s="184"/>
      <c r="AH141" s="185"/>
      <c r="AI141" s="81" t="s">
        <v>5</v>
      </c>
      <c r="AJ141" s="155"/>
      <c r="AK141" s="156"/>
      <c r="AL141" s="156"/>
      <c r="AM141" s="156"/>
      <c r="AN141" s="156"/>
      <c r="AO141" s="156"/>
      <c r="AP141" s="156"/>
      <c r="AQ141" s="156"/>
      <c r="AR141" s="156"/>
      <c r="AS141" s="157"/>
      <c r="AT141" s="164"/>
      <c r="AU141" s="164"/>
      <c r="AV141" s="158">
        <f>IF(AV139=0,IF(AJ141&lt;=150000,AJ141,150000),0)</f>
        <v>0</v>
      </c>
      <c r="AW141" s="159"/>
      <c r="AX141" s="159"/>
      <c r="AY141" s="159"/>
      <c r="AZ141" s="159"/>
      <c r="BA141" s="159"/>
      <c r="BB141" s="159"/>
      <c r="BC141" s="159"/>
      <c r="BD141" s="159"/>
      <c r="BE141" s="159"/>
      <c r="BF141" s="159"/>
      <c r="BG141" s="159"/>
      <c r="BH141" s="159"/>
      <c r="BI141" s="159"/>
      <c r="BJ141" s="160"/>
      <c r="BP141" s="325" t="str">
        <f>IF(AND(AV139&lt;&gt;0,AJ141&lt;&gt;0),"You are not eligible for deductions u/s 80EEA, since you have deduction u/s 80EE.",IF(AND(AV139=0,AJ141&gt;150000),"The maximum deduction allowed u/s 80EEA is Rs. 150,000.",""))</f>
        <v/>
      </c>
      <c r="BQ141" s="326"/>
      <c r="BR141" s="326"/>
      <c r="BS141" s="326"/>
      <c r="BT141" s="326"/>
      <c r="BU141" s="326"/>
      <c r="BV141" s="326"/>
      <c r="BW141" s="326"/>
    </row>
    <row r="142" spans="2:77" ht="5.0999999999999996" customHeight="1" x14ac:dyDescent="0.25">
      <c r="B142" s="20"/>
      <c r="BJ142" s="26"/>
    </row>
    <row r="143" spans="2:77" ht="27.6" customHeight="1" x14ac:dyDescent="0.25">
      <c r="B143" s="20"/>
      <c r="C143" s="183" t="s">
        <v>120</v>
      </c>
      <c r="D143" s="184"/>
      <c r="E143" s="184"/>
      <c r="F143" s="184"/>
      <c r="G143" s="184"/>
      <c r="H143" s="184"/>
      <c r="I143" s="184"/>
      <c r="J143" s="184"/>
      <c r="K143" s="184"/>
      <c r="L143" s="184"/>
      <c r="M143" s="184"/>
      <c r="N143" s="184"/>
      <c r="O143" s="184"/>
      <c r="P143" s="184"/>
      <c r="Q143" s="184"/>
      <c r="R143" s="184"/>
      <c r="S143" s="184"/>
      <c r="T143" s="184"/>
      <c r="U143" s="184"/>
      <c r="V143" s="184"/>
      <c r="W143" s="184"/>
      <c r="X143" s="184"/>
      <c r="Y143" s="184"/>
      <c r="Z143" s="184"/>
      <c r="AA143" s="184"/>
      <c r="AB143" s="184"/>
      <c r="AC143" s="184"/>
      <c r="AD143" s="184"/>
      <c r="AE143" s="184"/>
      <c r="AF143" s="184"/>
      <c r="AG143" s="184"/>
      <c r="AH143" s="185"/>
      <c r="AI143" s="81" t="s">
        <v>5</v>
      </c>
      <c r="AJ143" s="155"/>
      <c r="AK143" s="156"/>
      <c r="AL143" s="156"/>
      <c r="AM143" s="156"/>
      <c r="AN143" s="156"/>
      <c r="AO143" s="156"/>
      <c r="AP143" s="156"/>
      <c r="AQ143" s="156"/>
      <c r="AR143" s="156"/>
      <c r="AS143" s="157"/>
      <c r="AT143" s="164"/>
      <c r="AU143" s="164"/>
      <c r="AV143" s="158">
        <f>IF(AJ143&lt;=150000,AJ143,150000)</f>
        <v>0</v>
      </c>
      <c r="AW143" s="159"/>
      <c r="AX143" s="159"/>
      <c r="AY143" s="159"/>
      <c r="AZ143" s="159"/>
      <c r="BA143" s="159"/>
      <c r="BB143" s="159"/>
      <c r="BC143" s="159"/>
      <c r="BD143" s="159"/>
      <c r="BE143" s="159"/>
      <c r="BF143" s="159"/>
      <c r="BG143" s="159"/>
      <c r="BH143" s="159"/>
      <c r="BI143" s="159"/>
      <c r="BJ143" s="160"/>
      <c r="BP143" s="325" t="str">
        <f>IF(AJ143&gt;150000,"The maximum deduction allowed u/s 80EEB is Rs. 150,000.","")</f>
        <v/>
      </c>
      <c r="BQ143" s="326"/>
      <c r="BR143" s="326"/>
      <c r="BS143" s="326"/>
      <c r="BT143" s="326"/>
      <c r="BU143" s="326"/>
      <c r="BV143" s="326"/>
      <c r="BW143" s="326"/>
    </row>
    <row r="144" spans="2:77" ht="5.0999999999999996" customHeight="1" x14ac:dyDescent="0.25">
      <c r="B144" s="20"/>
      <c r="BJ144" s="26"/>
    </row>
    <row r="145" spans="2:75" ht="39.9" customHeight="1" x14ac:dyDescent="0.25">
      <c r="B145" s="20"/>
      <c r="C145" s="151" t="s">
        <v>196</v>
      </c>
      <c r="D145" s="152"/>
      <c r="E145" s="152"/>
      <c r="F145" s="152"/>
      <c r="G145" s="152"/>
      <c r="H145" s="152"/>
      <c r="I145" s="152"/>
      <c r="J145" s="152"/>
      <c r="K145" s="152"/>
      <c r="L145" s="152"/>
      <c r="M145" s="152"/>
      <c r="N145" s="166" t="s">
        <v>172</v>
      </c>
      <c r="O145" s="210"/>
      <c r="P145" s="210"/>
      <c r="Q145" s="210"/>
      <c r="R145" s="210"/>
      <c r="S145" s="210"/>
      <c r="T145" s="210"/>
      <c r="U145" s="210"/>
      <c r="V145" s="211"/>
      <c r="W145" s="151" t="s">
        <v>116</v>
      </c>
      <c r="X145" s="152"/>
      <c r="Y145" s="152"/>
      <c r="Z145" s="152"/>
      <c r="AA145" s="153"/>
      <c r="AB145" s="166" t="s">
        <v>45</v>
      </c>
      <c r="AC145" s="167"/>
      <c r="AD145" s="167"/>
      <c r="AE145" s="167"/>
      <c r="AF145" s="167"/>
      <c r="AG145" s="167"/>
      <c r="AH145" s="168"/>
      <c r="AI145" s="81" t="s">
        <v>5</v>
      </c>
      <c r="AJ145" s="155"/>
      <c r="AK145" s="156"/>
      <c r="AL145" s="156"/>
      <c r="AM145" s="156"/>
      <c r="AN145" s="156"/>
      <c r="AO145" s="156"/>
      <c r="AP145" s="156"/>
      <c r="AQ145" s="156"/>
      <c r="AR145" s="156"/>
      <c r="AS145" s="157"/>
      <c r="AT145" s="164"/>
      <c r="AU145" s="164"/>
      <c r="AV145" s="158">
        <f>IF(AND(AJ145&lt;&gt;0,AB145="cash"),IF(AND(N145="100% deduction without limit",AJ145&lt;=2000),IF(AV74&gt;=AJ145,AJ145,AV74),IF(AND(N145="50% deduction without limit",AJ145&lt;=2000),IF(AV74&gt;=ROUND(AJ145*0.5,0),ROUND(AJ145*0.5,0),AV74),IF(AND(N145="100% deduction with limit",AJ145&lt;=2000),IF(ROUND(BK145*0.1,0)&gt;AJ145,AJ145,ROUND(BK145*0.1,0)),IF(AND(N145="50% deduction with limit",AJ145&lt;=2000),IF(ROUND(BK145*0.05,0)&gt;ROUND(AJ145*0.5,0),ROUND(AJ145*0.5,0),ROUND(BK145*0.05,0)),0)))),IF(AND(AJ145&lt;&gt;0,AB145="Other than cash"),IF(N145="100% deduction without limit",IF(AV74&gt;=AJ145,AJ145,AV74),IF(N145="50% deduction without limit",IF(AV74&gt;=ROUND(AJ145*0.5,0),ROUND(AJ145*0.5,0),AV74),IF(N145="100% deduction with limit",IF(AJ145&lt;=ROUND(BK145*0.1,0),AJ145,ROUND(BK145*0.1,0)),IF(N145="50% deduction with limit",IF(AJ145&lt;=ROUND(BK145*0.05,0),ROUND(AJ145*0.5,0),ROUND(BK145*0.05,0)),0)))),0))</f>
        <v>0</v>
      </c>
      <c r="AW145" s="159"/>
      <c r="AX145" s="159"/>
      <c r="AY145" s="159"/>
      <c r="AZ145" s="159"/>
      <c r="BA145" s="159"/>
      <c r="BB145" s="159"/>
      <c r="BC145" s="159"/>
      <c r="BD145" s="159"/>
      <c r="BE145" s="159"/>
      <c r="BF145" s="159"/>
      <c r="BG145" s="159"/>
      <c r="BH145" s="159"/>
      <c r="BI145" s="159"/>
      <c r="BJ145" s="160"/>
      <c r="BK145" s="43">
        <f>IF(AND(AV74&lt;&gt;0,AJ145&lt;&gt;0,AV74&gt;=BL145),AV74-BL145,0)</f>
        <v>0</v>
      </c>
      <c r="BL145" s="43">
        <f>IF(AND(AV74&lt;&gt;0,AJ145&lt;&gt;0),SUM(AV103,AV105,AV107,AV109,AV111,AV131,AV133,AV135,AV137,AV139,AV141,AV143,AV149,AV151,AV153,AV155,AV157),0)</f>
        <v>0</v>
      </c>
      <c r="BP145" s="319" t="str">
        <f>IF(AND(AJ145&lt;&gt;0,OR(ISBLANK(N145),N145="Select Donation Type")),"Please select the donation type. ",IF(AND(AJ145&lt;&gt;0, OR(ISBLANK(AB145),AB145="SELECT")),"Please select the payment mode. ",IF(AND(AJ145&gt;2000, AB145="cash"),"Donation made in excess of 2000 rupees in cash mode is not allowed for deduction u/s 80G. ","")))</f>
        <v/>
      </c>
      <c r="BQ145" s="320"/>
      <c r="BR145" s="320"/>
      <c r="BS145" s="320"/>
      <c r="BT145" s="320"/>
      <c r="BU145" s="320"/>
      <c r="BV145" s="320"/>
    </row>
    <row r="146" spans="2:75" ht="5.0999999999999996" customHeight="1" x14ac:dyDescent="0.25">
      <c r="B146" s="20"/>
      <c r="BJ146" s="26"/>
    </row>
    <row r="147" spans="2:75" ht="39.9" customHeight="1" x14ac:dyDescent="0.25">
      <c r="B147" s="20"/>
      <c r="C147" s="151" t="s">
        <v>196</v>
      </c>
      <c r="D147" s="152"/>
      <c r="E147" s="152"/>
      <c r="F147" s="152"/>
      <c r="G147" s="152"/>
      <c r="H147" s="152"/>
      <c r="I147" s="152"/>
      <c r="J147" s="152"/>
      <c r="K147" s="152"/>
      <c r="L147" s="152"/>
      <c r="M147" s="152"/>
      <c r="N147" s="166" t="s">
        <v>172</v>
      </c>
      <c r="O147" s="210"/>
      <c r="P147" s="210"/>
      <c r="Q147" s="210"/>
      <c r="R147" s="210"/>
      <c r="S147" s="210"/>
      <c r="T147" s="210"/>
      <c r="U147" s="210"/>
      <c r="V147" s="211"/>
      <c r="W147" s="151" t="s">
        <v>116</v>
      </c>
      <c r="X147" s="152"/>
      <c r="Y147" s="152"/>
      <c r="Z147" s="152"/>
      <c r="AA147" s="153"/>
      <c r="AB147" s="166" t="s">
        <v>45</v>
      </c>
      <c r="AC147" s="167"/>
      <c r="AD147" s="167"/>
      <c r="AE147" s="167"/>
      <c r="AF147" s="167"/>
      <c r="AG147" s="167"/>
      <c r="AH147" s="168"/>
      <c r="AI147" s="81" t="s">
        <v>5</v>
      </c>
      <c r="AJ147" s="155"/>
      <c r="AK147" s="156"/>
      <c r="AL147" s="156"/>
      <c r="AM147" s="156"/>
      <c r="AN147" s="156"/>
      <c r="AO147" s="156"/>
      <c r="AP147" s="156"/>
      <c r="AQ147" s="156"/>
      <c r="AR147" s="156"/>
      <c r="AS147" s="157"/>
      <c r="AT147" s="164"/>
      <c r="AU147" s="164"/>
      <c r="AV147" s="158">
        <f>IF(AND(AJ147&lt;&gt;0,AB147="cash"),IF(AND(N147="100% deduction without limit",AJ147&lt;=2000),IF(AV74&gt;=AJ147,AJ147,AV74),IF(AND(N147="50% deduction without limit",AJ147&lt;=2000),IF(AV74&gt;=ROUND(AJ147*0.5,0),ROUND(AJ147*0.5,0),AV74),IF(AND(N147="100% deduction with limit",AJ147&lt;=2000),IF(ROUND(BK147*0.1,0)&gt;AJ147,AJ147,ROUND(BK147*0.1,0)),IF(AND(N147="50% deduction with limit",AJ147&lt;=2000),IF(ROUND(BK147*0.05,0)&gt;ROUND(AJ147*0.5,0),ROUND(AJ147*0.5,0),ROUND(BK147*0.05,0)),0)))),IF(AND(AJ147&lt;&gt;0,AB147="Other than cash"),IF(N147="100% deduction without limit",IF(AV74&gt;=AJ147,AJ147,AV74),IF(N147="50% deduction without limit",IF(AV74&gt;=ROUND(AJ147*0.5,0),ROUND(AJ147*0.5,0),AV74),IF(N147="100% deduction with limit",IF(AJ147&lt;=ROUND(BK147*0.1,0),AJ147,ROUND(BK147*0.1,0)),IF(N147="50% deduction with limit",IF(AJ147&lt;=ROUND(BK147*0.05,0),ROUND(AJ147*0.5,0),ROUND(BK147*0.05,0)),0)))),0))</f>
        <v>0</v>
      </c>
      <c r="AW147" s="159"/>
      <c r="AX147" s="159"/>
      <c r="AY147" s="159"/>
      <c r="AZ147" s="159"/>
      <c r="BA147" s="159"/>
      <c r="BB147" s="159"/>
      <c r="BC147" s="159"/>
      <c r="BD147" s="159"/>
      <c r="BE147" s="159"/>
      <c r="BF147" s="159"/>
      <c r="BG147" s="159"/>
      <c r="BH147" s="159"/>
      <c r="BI147" s="159"/>
      <c r="BJ147" s="160"/>
      <c r="BK147" s="43">
        <f>IF(AND(AV74&lt;&gt;0,AJ147&lt;&gt;0,AV74&gt;=BL147),AV74-BL147,0)</f>
        <v>0</v>
      </c>
      <c r="BL147" s="43">
        <f>IF(AND(AV74&lt;&gt;0,AJ147&lt;&gt;0),SUM(AV103,AV105,AV107,AV109,AV111,AV131,AV133,AV135,AV137,AV139,AV141,AV143,AV149,AV151,AV153,AV155,AV157),0)</f>
        <v>0</v>
      </c>
      <c r="BP147" s="319" t="str">
        <f>IF(AND(AJ147&lt;&gt;0,OR(ISBLANK(N147),N147="Select Donation Type")),"Please select the donation type. ",IF(AND(AJ147&lt;&gt;0, OR(ISBLANK(AB147),AB147="SELECT")),"Please select the payment mode. ",IF(AND(N145=N147,AB145=AB147,AJ145=AJ147,AND(AJ145&lt;&gt;0,AJ147&lt;&gt;0)),"Please avoid duplicate entries in 80G sections. ",IF(AND(AJ147&gt;2000, AB147="cash"),"Donation made in excess of 2000 rupees in cash mode is not allowed for deduction u/s 80G. ",""))))</f>
        <v/>
      </c>
      <c r="BQ147" s="320"/>
      <c r="BR147" s="320"/>
      <c r="BS147" s="320"/>
      <c r="BT147" s="320"/>
      <c r="BU147" s="320"/>
      <c r="BV147" s="320"/>
    </row>
    <row r="148" spans="2:75" ht="5.0999999999999996" customHeight="1" x14ac:dyDescent="0.25">
      <c r="B148" s="20"/>
      <c r="BJ148" s="26"/>
      <c r="BP148" s="323" t="str">
        <f>IF(AND(AJ149&lt;&gt;0,W24&lt;&gt;0),"Since you have HRA component in your salary, you are not eligible for deduction u/s 80GG , but eligible to claim HRA exemption.",IF(AND(AJ149&lt;&gt;0,OR(-AV62&lt;&gt;0,AV93&lt;&gt;0,AV139&lt;&gt;0,AV141&lt;&gt;0)),"You are not eligible for deduction u/s 80GG, since you have self occupied house property.",IF(AND(AJ149&lt;&gt;0,AJ149&lt;=ROUND(0.1*(K24+Q24),0)),"You are not eligible for deduction u/s 80GG, since the actual rent paid is 10 per cent or less than 10 per cent of your salary.",IF(AV149&lt;&gt;0,"Please ensure to submit FORM NO. 10BA.",""))))</f>
        <v/>
      </c>
      <c r="BQ148" s="324"/>
      <c r="BR148" s="324"/>
      <c r="BS148" s="324"/>
      <c r="BT148" s="324"/>
      <c r="BU148" s="324"/>
      <c r="BV148" s="324"/>
      <c r="BW148" s="324"/>
    </row>
    <row r="149" spans="2:75" s="85" customFormat="1" ht="18" customHeight="1" x14ac:dyDescent="0.3">
      <c r="B149" s="84"/>
      <c r="C149" s="151" t="s">
        <v>180</v>
      </c>
      <c r="D149" s="154"/>
      <c r="E149" s="154"/>
      <c r="F149" s="154"/>
      <c r="G149" s="154"/>
      <c r="H149" s="154"/>
      <c r="I149" s="154"/>
      <c r="J149" s="154"/>
      <c r="K149" s="154"/>
      <c r="L149" s="154"/>
      <c r="M149" s="154"/>
      <c r="N149" s="154"/>
      <c r="O149" s="154"/>
      <c r="P149" s="154"/>
      <c r="Q149" s="154"/>
      <c r="R149" s="154"/>
      <c r="S149" s="154"/>
      <c r="T149" s="154"/>
      <c r="U149" s="154"/>
      <c r="V149" s="154"/>
      <c r="W149" s="154"/>
      <c r="X149" s="154"/>
      <c r="Y149" s="154"/>
      <c r="Z149" s="154"/>
      <c r="AA149" s="154"/>
      <c r="AB149" s="154"/>
      <c r="AC149" s="154"/>
      <c r="AD149" s="154"/>
      <c r="AE149" s="154"/>
      <c r="AF149" s="154"/>
      <c r="AG149" s="154"/>
      <c r="AH149" s="207"/>
      <c r="AI149" s="81" t="s">
        <v>5</v>
      </c>
      <c r="AJ149" s="155"/>
      <c r="AK149" s="156"/>
      <c r="AL149" s="156"/>
      <c r="AM149" s="156"/>
      <c r="AN149" s="156"/>
      <c r="AO149" s="156"/>
      <c r="AP149" s="156"/>
      <c r="AQ149" s="156"/>
      <c r="AR149" s="156"/>
      <c r="AS149" s="157"/>
      <c r="AT149" s="191"/>
      <c r="AU149" s="192"/>
      <c r="AV149" s="158">
        <f>IF(AND(AJ149&lt;&gt;0,W24=0,AV62=0,AV93=0,AV139=0,AV141=0),MIN(ROUND(0.25*(K24+Q24),0),60000,IF(AJ149&gt;ROUND(0.1*(K24+Q24),0),AJ149-ROUND(0.1*(K24+Q24),0),0)),0)</f>
        <v>0</v>
      </c>
      <c r="AW149" s="159"/>
      <c r="AX149" s="159"/>
      <c r="AY149" s="159"/>
      <c r="AZ149" s="159"/>
      <c r="BA149" s="159"/>
      <c r="BB149" s="159"/>
      <c r="BC149" s="159"/>
      <c r="BD149" s="159"/>
      <c r="BE149" s="159"/>
      <c r="BF149" s="159"/>
      <c r="BG149" s="159"/>
      <c r="BH149" s="159"/>
      <c r="BI149" s="159"/>
      <c r="BJ149" s="160"/>
      <c r="BP149" s="324"/>
      <c r="BQ149" s="324"/>
      <c r="BR149" s="324"/>
      <c r="BS149" s="324"/>
      <c r="BT149" s="324"/>
      <c r="BU149" s="324"/>
      <c r="BV149" s="324"/>
      <c r="BW149" s="324"/>
    </row>
    <row r="150" spans="2:75" ht="5.0999999999999996" customHeight="1" x14ac:dyDescent="0.25">
      <c r="B150" s="20"/>
      <c r="BJ150" s="26"/>
      <c r="BP150" s="320"/>
      <c r="BQ150" s="320"/>
      <c r="BR150" s="320"/>
      <c r="BS150" s="320"/>
      <c r="BT150" s="320"/>
      <c r="BU150" s="320"/>
      <c r="BV150" s="320"/>
      <c r="BW150" s="320"/>
    </row>
    <row r="151" spans="2:75" ht="27.6" customHeight="1" x14ac:dyDescent="0.3">
      <c r="B151" s="20"/>
      <c r="C151" s="151" t="s">
        <v>159</v>
      </c>
      <c r="D151" s="154"/>
      <c r="E151" s="154"/>
      <c r="F151" s="154"/>
      <c r="G151" s="154"/>
      <c r="H151" s="154"/>
      <c r="I151" s="154"/>
      <c r="J151" s="154"/>
      <c r="K151" s="154"/>
      <c r="L151" s="154"/>
      <c r="M151" s="154"/>
      <c r="N151" s="154"/>
      <c r="O151" s="154"/>
      <c r="P151" s="154"/>
      <c r="Q151" s="154"/>
      <c r="R151" s="154"/>
      <c r="S151" s="154"/>
      <c r="T151" s="154"/>
      <c r="U151" s="154"/>
      <c r="V151" s="153"/>
      <c r="W151" s="151" t="s">
        <v>116</v>
      </c>
      <c r="X151" s="152"/>
      <c r="Y151" s="152"/>
      <c r="Z151" s="152"/>
      <c r="AA151" s="153"/>
      <c r="AB151" s="166" t="s">
        <v>45</v>
      </c>
      <c r="AC151" s="167"/>
      <c r="AD151" s="167"/>
      <c r="AE151" s="167"/>
      <c r="AF151" s="167"/>
      <c r="AG151" s="167"/>
      <c r="AH151" s="168"/>
      <c r="AI151" s="81" t="s">
        <v>5</v>
      </c>
      <c r="AJ151" s="155"/>
      <c r="AK151" s="156"/>
      <c r="AL151" s="156"/>
      <c r="AM151" s="156"/>
      <c r="AN151" s="156"/>
      <c r="AO151" s="156"/>
      <c r="AP151" s="156"/>
      <c r="AQ151" s="156"/>
      <c r="AR151" s="156"/>
      <c r="AS151" s="157"/>
      <c r="AT151" s="164"/>
      <c r="AU151" s="164"/>
      <c r="AV151" s="158">
        <f>IF(AB151="Other than Cash",IF(AJ151&lt;=AV74,AJ151,AV74),IF(AB151="Cash",IF(AJ151&lt;=2000,AJ151,0),0))</f>
        <v>0</v>
      </c>
      <c r="AW151" s="159"/>
      <c r="AX151" s="159"/>
      <c r="AY151" s="159"/>
      <c r="AZ151" s="159"/>
      <c r="BA151" s="159"/>
      <c r="BB151" s="159"/>
      <c r="BC151" s="159"/>
      <c r="BD151" s="159"/>
      <c r="BE151" s="159"/>
      <c r="BF151" s="159"/>
      <c r="BG151" s="159"/>
      <c r="BH151" s="159"/>
      <c r="BI151" s="159"/>
      <c r="BJ151" s="160"/>
      <c r="BP151" s="328" t="str">
        <f>IF(AND(AJ151&lt;&gt;0, OR(ISBLANK(AB151),AB151="SELECT")),"Please select the payment mode. ",IF(AND(AJ151&gt;2000, AB151="cash"),"Donations made in excess of 2000 rupees in cash mode are not allowed for deduction u/s 80GGA. ",""))</f>
        <v/>
      </c>
      <c r="BQ151" s="329"/>
      <c r="BR151" s="329"/>
      <c r="BS151" s="329"/>
      <c r="BT151" s="329"/>
      <c r="BU151" s="329"/>
      <c r="BV151" s="329"/>
      <c r="BW151" s="329"/>
    </row>
    <row r="152" spans="2:75" ht="5.0999999999999996" customHeight="1" x14ac:dyDescent="0.25">
      <c r="B152" s="20"/>
      <c r="BJ152" s="26"/>
    </row>
    <row r="153" spans="2:75" ht="26.25" customHeight="1" x14ac:dyDescent="0.25">
      <c r="B153" s="20"/>
      <c r="C153" s="151" t="s">
        <v>160</v>
      </c>
      <c r="D153" s="154"/>
      <c r="E153" s="154"/>
      <c r="F153" s="154"/>
      <c r="G153" s="154"/>
      <c r="H153" s="154"/>
      <c r="I153" s="154"/>
      <c r="J153" s="154"/>
      <c r="K153" s="154"/>
      <c r="L153" s="154"/>
      <c r="M153" s="154"/>
      <c r="N153" s="154"/>
      <c r="O153" s="154"/>
      <c r="P153" s="154"/>
      <c r="Q153" s="154"/>
      <c r="R153" s="154"/>
      <c r="S153" s="154"/>
      <c r="T153" s="154"/>
      <c r="U153" s="154"/>
      <c r="V153" s="153"/>
      <c r="W153" s="151" t="s">
        <v>116</v>
      </c>
      <c r="X153" s="152"/>
      <c r="Y153" s="152"/>
      <c r="Z153" s="152"/>
      <c r="AA153" s="153"/>
      <c r="AB153" s="166" t="s">
        <v>45</v>
      </c>
      <c r="AC153" s="167"/>
      <c r="AD153" s="167"/>
      <c r="AE153" s="167"/>
      <c r="AF153" s="167"/>
      <c r="AG153" s="167"/>
      <c r="AH153" s="168"/>
      <c r="AI153" s="81" t="s">
        <v>5</v>
      </c>
      <c r="AJ153" s="155"/>
      <c r="AK153" s="156"/>
      <c r="AL153" s="156"/>
      <c r="AM153" s="156"/>
      <c r="AN153" s="156"/>
      <c r="AO153" s="156"/>
      <c r="AP153" s="156"/>
      <c r="AQ153" s="156"/>
      <c r="AR153" s="156"/>
      <c r="AS153" s="157"/>
      <c r="AT153" s="164"/>
      <c r="AU153" s="164"/>
      <c r="AV153" s="158">
        <f>IF(AB153="Other than Cash",IF(AJ153&lt;=AV74,AJ153,AV74),0)</f>
        <v>0</v>
      </c>
      <c r="AW153" s="159"/>
      <c r="AX153" s="159"/>
      <c r="AY153" s="159"/>
      <c r="AZ153" s="159"/>
      <c r="BA153" s="159"/>
      <c r="BB153" s="159"/>
      <c r="BC153" s="159"/>
      <c r="BD153" s="159"/>
      <c r="BE153" s="159"/>
      <c r="BF153" s="159"/>
      <c r="BG153" s="159"/>
      <c r="BH153" s="159"/>
      <c r="BI153" s="159"/>
      <c r="BJ153" s="160"/>
      <c r="BP153" s="319" t="str">
        <f>IF(AND(AJ153&lt;&gt;0, OR(ISBLANK(AB153),AB153="SELECT")),"Please select the payment mode. ",IF(AND(AJ153&lt;&gt;0, AB153="cash"),"Donation to political parties in cash mode is not allowed for deduction u/s 80GGC. ",""))</f>
        <v/>
      </c>
      <c r="BQ153" s="320"/>
      <c r="BR153" s="320"/>
      <c r="BS153" s="320"/>
      <c r="BT153" s="320"/>
      <c r="BU153" s="320"/>
      <c r="BV153" s="320"/>
      <c r="BW153" s="320"/>
    </row>
    <row r="154" spans="2:75" ht="5.0999999999999996" customHeight="1" x14ac:dyDescent="0.25">
      <c r="B154" s="20"/>
      <c r="BJ154" s="26"/>
    </row>
    <row r="155" spans="2:75" x14ac:dyDescent="0.25">
      <c r="B155" s="20"/>
      <c r="C155" s="151" t="s">
        <v>157</v>
      </c>
      <c r="D155" s="169"/>
      <c r="E155" s="169"/>
      <c r="F155" s="169"/>
      <c r="G155" s="169"/>
      <c r="H155" s="169"/>
      <c r="I155" s="169"/>
      <c r="J155" s="169"/>
      <c r="K155" s="169"/>
      <c r="L155" s="169"/>
      <c r="M155" s="169"/>
      <c r="N155" s="169"/>
      <c r="O155" s="169"/>
      <c r="P155" s="169"/>
      <c r="Q155" s="169"/>
      <c r="R155" s="169"/>
      <c r="S155" s="169"/>
      <c r="T155" s="169"/>
      <c r="U155" s="169"/>
      <c r="V155" s="169"/>
      <c r="W155" s="169"/>
      <c r="X155" s="169"/>
      <c r="Y155" s="169"/>
      <c r="Z155" s="169"/>
      <c r="AA155" s="169"/>
      <c r="AB155" s="169"/>
      <c r="AC155" s="169"/>
      <c r="AD155" s="169"/>
      <c r="AE155" s="169"/>
      <c r="AF155" s="169"/>
      <c r="AG155" s="169"/>
      <c r="AH155" s="170"/>
      <c r="AI155" s="81" t="s">
        <v>5</v>
      </c>
      <c r="AJ155" s="161">
        <f>IF(AV66&lt;&gt;0, AV66,0)</f>
        <v>0</v>
      </c>
      <c r="AK155" s="162"/>
      <c r="AL155" s="162"/>
      <c r="AM155" s="162"/>
      <c r="AN155" s="162"/>
      <c r="AO155" s="162"/>
      <c r="AP155" s="162"/>
      <c r="AQ155" s="162"/>
      <c r="AR155" s="162"/>
      <c r="AS155" s="163"/>
      <c r="AT155" s="164"/>
      <c r="AU155" s="164"/>
      <c r="AV155" s="158">
        <f>IF(AJ155&lt;=10000,AJ155,10000)</f>
        <v>0</v>
      </c>
      <c r="AW155" s="159"/>
      <c r="AX155" s="159"/>
      <c r="AY155" s="159"/>
      <c r="AZ155" s="159"/>
      <c r="BA155" s="159"/>
      <c r="BB155" s="159"/>
      <c r="BC155" s="159"/>
      <c r="BD155" s="159"/>
      <c r="BE155" s="159"/>
      <c r="BF155" s="159"/>
      <c r="BG155" s="159"/>
      <c r="BH155" s="159"/>
      <c r="BI155" s="159"/>
      <c r="BJ155" s="160"/>
      <c r="BP155" s="321" t="str">
        <f>IF(AJ155&gt;10000,"The maximum deduction allowed u/s 80TTA is Rs. 10,000.","")</f>
        <v/>
      </c>
      <c r="BQ155" s="321"/>
      <c r="BR155" s="321"/>
      <c r="BS155" s="321"/>
      <c r="BT155" s="321"/>
      <c r="BU155" s="321"/>
      <c r="BV155" s="321"/>
      <c r="BW155" s="321"/>
    </row>
    <row r="156" spans="2:75" ht="5.0999999999999996" customHeight="1" x14ac:dyDescent="0.25">
      <c r="B156" s="20"/>
      <c r="BJ156" s="26"/>
    </row>
    <row r="157" spans="2:75" ht="25.5" customHeight="1" x14ac:dyDescent="0.25">
      <c r="B157" s="20"/>
      <c r="C157" s="151" t="s">
        <v>184</v>
      </c>
      <c r="D157" s="154"/>
      <c r="E157" s="154"/>
      <c r="F157" s="154"/>
      <c r="G157" s="154"/>
      <c r="H157" s="154"/>
      <c r="I157" s="154"/>
      <c r="J157" s="154"/>
      <c r="K157" s="154"/>
      <c r="L157" s="154"/>
      <c r="M157" s="154"/>
      <c r="N157" s="154"/>
      <c r="O157" s="154"/>
      <c r="P157" s="154"/>
      <c r="Q157" s="154"/>
      <c r="R157" s="154"/>
      <c r="S157" s="154"/>
      <c r="T157" s="154"/>
      <c r="U157" s="154"/>
      <c r="V157" s="154"/>
      <c r="W157" s="154"/>
      <c r="X157" s="207"/>
      <c r="Y157" s="284" t="s">
        <v>45</v>
      </c>
      <c r="Z157" s="285"/>
      <c r="AA157" s="285"/>
      <c r="AB157" s="285"/>
      <c r="AC157" s="285"/>
      <c r="AD157" s="285"/>
      <c r="AE157" s="285"/>
      <c r="AF157" s="286"/>
      <c r="AG157" s="286"/>
      <c r="AH157" s="287"/>
      <c r="AI157" s="81" t="s">
        <v>5</v>
      </c>
      <c r="AJ157" s="161">
        <f>IF( Y157="Self with Severe Disability", 125000, IF( Y157="Self with Disability", 75000,0))</f>
        <v>0</v>
      </c>
      <c r="AK157" s="162"/>
      <c r="AL157" s="162"/>
      <c r="AM157" s="162"/>
      <c r="AN157" s="162"/>
      <c r="AO157" s="162"/>
      <c r="AP157" s="162"/>
      <c r="AQ157" s="162"/>
      <c r="AR157" s="162"/>
      <c r="AS157" s="163"/>
      <c r="AT157" s="164"/>
      <c r="AU157" s="164"/>
      <c r="AV157" s="158">
        <f>AJ157</f>
        <v>0</v>
      </c>
      <c r="AW157" s="159"/>
      <c r="AX157" s="159"/>
      <c r="AY157" s="159"/>
      <c r="AZ157" s="159"/>
      <c r="BA157" s="159"/>
      <c r="BB157" s="159"/>
      <c r="BC157" s="159"/>
      <c r="BD157" s="159"/>
      <c r="BE157" s="159"/>
      <c r="BF157" s="159"/>
      <c r="BG157" s="159"/>
      <c r="BH157" s="159"/>
      <c r="BI157" s="159"/>
      <c r="BJ157" s="160"/>
      <c r="BP157" s="319" t="str">
        <f>IF(AV157&lt;&gt;0, "Please ensure to submit FORM NO. 10-IA.","")</f>
        <v/>
      </c>
      <c r="BQ157" s="320"/>
      <c r="BR157" s="320"/>
      <c r="BS157" s="320"/>
      <c r="BT157" s="320"/>
      <c r="BU157" s="320"/>
      <c r="BV157" s="320"/>
      <c r="BW157" s="320"/>
    </row>
    <row r="158" spans="2:75" ht="5.0999999999999996" customHeight="1" x14ac:dyDescent="0.25">
      <c r="B158" s="20"/>
      <c r="BJ158" s="26"/>
    </row>
    <row r="159" spans="2:75" x14ac:dyDescent="0.25">
      <c r="B159" s="22"/>
      <c r="C159" s="288" t="s">
        <v>114</v>
      </c>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4"/>
      <c r="AI159" s="81" t="s">
        <v>5</v>
      </c>
      <c r="AJ159" s="161">
        <f>SUM(AJ103,AJ105,AJ107,IF(AJ109&gt;AV109,AJ109,AV109),AJ111,AJ131,AJ133,AJ135,AJ137,AJ139,AJ141,AJ143,AJ145,AJ147,AJ149,AJ151,AJ153,AJ155,AJ157)</f>
        <v>0</v>
      </c>
      <c r="AK159" s="162"/>
      <c r="AL159" s="162"/>
      <c r="AM159" s="162"/>
      <c r="AN159" s="162"/>
      <c r="AO159" s="162"/>
      <c r="AP159" s="162"/>
      <c r="AQ159" s="162"/>
      <c r="AR159" s="162"/>
      <c r="AS159" s="163"/>
      <c r="AT159" s="164"/>
      <c r="AU159" s="164"/>
      <c r="AV159" s="158">
        <f>SUM(AV103,AV105,AV107,AV109,AV111,AV131,AV133,AV135,AV137,AV139,AV141,AV143,AV145,AV147,AV149,AV151,AV153,AV155,AV157)</f>
        <v>0</v>
      </c>
      <c r="AW159" s="159"/>
      <c r="AX159" s="159"/>
      <c r="AY159" s="159"/>
      <c r="AZ159" s="159"/>
      <c r="BA159" s="159"/>
      <c r="BB159" s="159"/>
      <c r="BC159" s="159"/>
      <c r="BD159" s="159"/>
      <c r="BE159" s="159"/>
      <c r="BF159" s="159"/>
      <c r="BG159" s="159"/>
      <c r="BH159" s="159"/>
      <c r="BI159" s="159"/>
      <c r="BJ159" s="160"/>
      <c r="BP159" s="35" t="str">
        <f>IF(AV74&lt;AV159,"Total deductions under chapter VI A cannot exceed Gross Total Income.","")</f>
        <v/>
      </c>
    </row>
    <row r="160" spans="2:75" ht="6.9" customHeight="1" x14ac:dyDescent="0.25">
      <c r="B160" s="20"/>
      <c r="BJ160" s="26"/>
      <c r="BP160" s="319" t="str">
        <f>IF(AND(AV161&gt;=5000000, AV161&lt;=10000000),"You need to pay surcharge on the amount of income tax at 10% rate in addition to tax shown below.",IF(AND(AV161&gt;10000000, AV161&lt;=20000000),"You need to pay surcharge on the amount of income tax at 15% rate in addition to tax shown below.",IF(AND(AV161&gt;20000000, AV161&lt;=50000000),"You need to pay surcharge on the amount of income tax at 25% rate in addition to tax shown below.",IF(AV161&gt;50000000,"You need to pay surcharge on the amount of income tax at 37% rate in addition to tax shown below.",""))))</f>
        <v/>
      </c>
      <c r="BQ160" s="319"/>
      <c r="BR160" s="319"/>
      <c r="BS160" s="319"/>
      <c r="BT160" s="319"/>
      <c r="BU160" s="319"/>
      <c r="BV160" s="319"/>
      <c r="BW160" s="319"/>
    </row>
    <row r="161" spans="2:75" x14ac:dyDescent="0.25">
      <c r="B161" s="212" t="s">
        <v>187</v>
      </c>
      <c r="C161" s="169"/>
      <c r="D161" s="169"/>
      <c r="E161" s="169"/>
      <c r="F161" s="169"/>
      <c r="G161" s="169"/>
      <c r="H161" s="169"/>
      <c r="I161" s="169"/>
      <c r="J161" s="169"/>
      <c r="K161" s="169"/>
      <c r="L161" s="169"/>
      <c r="M161" s="169"/>
      <c r="N161" s="169"/>
      <c r="O161" s="169"/>
      <c r="P161" s="169"/>
      <c r="Q161" s="169"/>
      <c r="R161" s="169"/>
      <c r="S161" s="169"/>
      <c r="T161" s="169"/>
      <c r="U161" s="169"/>
      <c r="V161" s="169"/>
      <c r="W161" s="169"/>
      <c r="X161" s="169"/>
      <c r="Y161" s="169"/>
      <c r="Z161" s="169"/>
      <c r="AA161" s="169"/>
      <c r="AB161" s="169"/>
      <c r="AC161" s="169"/>
      <c r="AD161" s="169"/>
      <c r="AE161" s="169"/>
      <c r="AF161" s="169"/>
      <c r="AG161" s="169"/>
      <c r="AH161" s="169"/>
      <c r="AI161" s="169"/>
      <c r="AJ161" s="169"/>
      <c r="AK161" s="169"/>
      <c r="AL161" s="169"/>
      <c r="AM161" s="169"/>
      <c r="AN161" s="169"/>
      <c r="AO161" s="169"/>
      <c r="AP161" s="169"/>
      <c r="AQ161" s="169"/>
      <c r="AR161" s="169"/>
      <c r="AS161" s="169"/>
      <c r="AT161" s="170"/>
      <c r="AU161" s="81" t="s">
        <v>5</v>
      </c>
      <c r="AV161" s="158">
        <f>IF(AV74&gt;AV159,MROUND(ABS(AV74-AV159), 10),0)</f>
        <v>0</v>
      </c>
      <c r="AW161" s="159"/>
      <c r="AX161" s="159"/>
      <c r="AY161" s="159"/>
      <c r="AZ161" s="159"/>
      <c r="BA161" s="159"/>
      <c r="BB161" s="159"/>
      <c r="BC161" s="159"/>
      <c r="BD161" s="159"/>
      <c r="BE161" s="159"/>
      <c r="BF161" s="159"/>
      <c r="BG161" s="159"/>
      <c r="BH161" s="159"/>
      <c r="BI161" s="159"/>
      <c r="BJ161" s="160"/>
      <c r="BP161" s="319"/>
      <c r="BQ161" s="319"/>
      <c r="BR161" s="319"/>
      <c r="BS161" s="319"/>
      <c r="BT161" s="319"/>
      <c r="BU161" s="319"/>
      <c r="BV161" s="319"/>
      <c r="BW161" s="319"/>
    </row>
    <row r="162" spans="2:75" ht="8.1" customHeight="1" x14ac:dyDescent="0.25">
      <c r="P162" s="43" t="s">
        <v>169</v>
      </c>
      <c r="BP162" s="319"/>
      <c r="BQ162" s="319"/>
      <c r="BR162" s="319"/>
      <c r="BS162" s="319"/>
      <c r="BT162" s="319"/>
      <c r="BU162" s="319"/>
      <c r="BV162" s="319"/>
      <c r="BW162" s="319"/>
    </row>
    <row r="163" spans="2:75" x14ac:dyDescent="0.25">
      <c r="B163" s="212" t="s">
        <v>123</v>
      </c>
      <c r="C163" s="169"/>
      <c r="D163" s="169"/>
      <c r="E163" s="169"/>
      <c r="F163" s="169"/>
      <c r="G163" s="169"/>
      <c r="H163" s="169"/>
      <c r="I163" s="169"/>
      <c r="J163" s="169"/>
      <c r="K163" s="169"/>
      <c r="L163" s="169"/>
      <c r="M163" s="169"/>
      <c r="N163" s="169"/>
      <c r="O163" s="169"/>
      <c r="P163" s="169"/>
      <c r="Q163" s="169"/>
      <c r="R163" s="169"/>
      <c r="S163" s="169"/>
      <c r="T163" s="169"/>
      <c r="U163" s="169"/>
      <c r="V163" s="169"/>
      <c r="W163" s="169"/>
      <c r="X163" s="169"/>
      <c r="Y163" s="169"/>
      <c r="Z163" s="169"/>
      <c r="AA163" s="169"/>
      <c r="AB163" s="169"/>
      <c r="AC163" s="169"/>
      <c r="AD163" s="169"/>
      <c r="AE163" s="169"/>
      <c r="AF163" s="169"/>
      <c r="AG163" s="169"/>
      <c r="AH163" s="169"/>
      <c r="AI163" s="169"/>
      <c r="AJ163" s="169"/>
      <c r="AK163" s="169"/>
      <c r="AL163" s="169"/>
      <c r="AM163" s="169"/>
      <c r="AN163" s="169"/>
      <c r="AO163" s="169"/>
      <c r="AP163" s="169"/>
      <c r="AQ163" s="169"/>
      <c r="AR163" s="169"/>
      <c r="AS163" s="169"/>
      <c r="AT163" s="169"/>
      <c r="AU163" s="169"/>
      <c r="AV163" s="169"/>
      <c r="AW163" s="169"/>
      <c r="AX163" s="169"/>
      <c r="AY163" s="169"/>
      <c r="AZ163" s="169"/>
      <c r="BA163" s="169"/>
      <c r="BB163" s="169"/>
      <c r="BC163" s="169"/>
      <c r="BD163" s="169"/>
      <c r="BE163" s="169"/>
      <c r="BF163" s="169"/>
      <c r="BG163" s="169"/>
      <c r="BH163" s="169"/>
      <c r="BI163" s="169"/>
      <c r="BJ163" s="170"/>
    </row>
    <row r="164" spans="2:75" ht="5.25" customHeight="1" x14ac:dyDescent="0.25">
      <c r="B164" s="20"/>
      <c r="BJ164" s="26"/>
    </row>
    <row r="165" spans="2:75" x14ac:dyDescent="0.25">
      <c r="B165" s="20"/>
      <c r="C165" s="195" t="s">
        <v>121</v>
      </c>
      <c r="D165" s="195"/>
      <c r="E165" s="195"/>
      <c r="F165" s="195"/>
      <c r="G165" s="195"/>
      <c r="H165" s="195"/>
      <c r="I165" s="195"/>
      <c r="J165" s="195"/>
      <c r="K165" s="195"/>
      <c r="L165" s="195"/>
      <c r="M165" s="195"/>
      <c r="N165" s="195"/>
      <c r="O165" s="195"/>
      <c r="P165" s="195"/>
      <c r="Q165" s="195"/>
      <c r="R165" s="195"/>
      <c r="S165" s="195"/>
      <c r="T165" s="195"/>
      <c r="U165" s="195"/>
      <c r="V165" s="195"/>
      <c r="W165" s="195"/>
      <c r="X165" s="195"/>
      <c r="Y165" s="195"/>
      <c r="Z165" s="195"/>
      <c r="AA165" s="195"/>
      <c r="AB165" s="195"/>
      <c r="AC165" s="195"/>
      <c r="AD165" s="195"/>
      <c r="AE165" s="195"/>
      <c r="AF165" s="195"/>
      <c r="AG165" s="195"/>
      <c r="AH165" s="195"/>
      <c r="AI165" s="195"/>
      <c r="AJ165" s="195"/>
      <c r="AK165" s="195"/>
      <c r="AL165" s="195"/>
      <c r="AM165" s="195"/>
      <c r="AN165" s="195"/>
      <c r="AO165" s="195"/>
      <c r="AP165" s="195"/>
      <c r="AQ165" s="195"/>
      <c r="AR165" s="195"/>
      <c r="AS165" s="195"/>
      <c r="AT165" s="195"/>
      <c r="AU165" s="81" t="s">
        <v>5</v>
      </c>
      <c r="AV165" s="186">
        <f>ROUND(IF(AV161&lt;= 250000,0, IF(AND(AV161&gt; 250000,AV161&lt;= 500000),ABS(AV161- 250000)*0.05, IF(AND(AV161&gt; 500000,AV161&lt;= 1000000),12500+ ABS(AV161- 500000)*0.2, IF(AV161&gt; 1000000, 112500+ABS(AV161- 1000000)*0.3,0)))),0)</f>
        <v>0</v>
      </c>
      <c r="AW165" s="186"/>
      <c r="AX165" s="186"/>
      <c r="AY165" s="186"/>
      <c r="AZ165" s="186"/>
      <c r="BA165" s="186"/>
      <c r="BB165" s="186"/>
      <c r="BC165" s="186"/>
      <c r="BD165" s="186"/>
      <c r="BE165" s="186"/>
      <c r="BF165" s="186"/>
      <c r="BG165" s="186"/>
      <c r="BH165" s="186"/>
      <c r="BI165" s="186"/>
      <c r="BJ165" s="186"/>
    </row>
    <row r="166" spans="2:75" ht="5.25" customHeight="1" x14ac:dyDescent="0.25">
      <c r="B166" s="20"/>
      <c r="BJ166" s="26"/>
    </row>
    <row r="167" spans="2:75" x14ac:dyDescent="0.25">
      <c r="B167" s="20"/>
      <c r="C167" s="195" t="s">
        <v>122</v>
      </c>
      <c r="D167" s="195"/>
      <c r="E167" s="195"/>
      <c r="F167" s="195"/>
      <c r="G167" s="195"/>
      <c r="H167" s="195"/>
      <c r="I167" s="195"/>
      <c r="J167" s="195"/>
      <c r="K167" s="195"/>
      <c r="L167" s="195"/>
      <c r="M167" s="195"/>
      <c r="N167" s="195"/>
      <c r="O167" s="195"/>
      <c r="P167" s="195"/>
      <c r="Q167" s="195"/>
      <c r="R167" s="195"/>
      <c r="S167" s="195"/>
      <c r="T167" s="195"/>
      <c r="U167" s="195"/>
      <c r="V167" s="195"/>
      <c r="W167" s="195"/>
      <c r="X167" s="195"/>
      <c r="Y167" s="195"/>
      <c r="Z167" s="195"/>
      <c r="AA167" s="195"/>
      <c r="AB167" s="195"/>
      <c r="AC167" s="195"/>
      <c r="AD167" s="195"/>
      <c r="AE167" s="195"/>
      <c r="AF167" s="195"/>
      <c r="AG167" s="195"/>
      <c r="AH167" s="195"/>
      <c r="AI167" s="195"/>
      <c r="AJ167" s="195"/>
      <c r="AK167" s="195"/>
      <c r="AL167" s="195"/>
      <c r="AM167" s="195"/>
      <c r="AN167" s="195"/>
      <c r="AO167" s="195"/>
      <c r="AP167" s="195"/>
      <c r="AQ167" s="195"/>
      <c r="AR167" s="195"/>
      <c r="AS167" s="195"/>
      <c r="AT167" s="195"/>
      <c r="AU167" s="81" t="s">
        <v>5</v>
      </c>
      <c r="AV167" s="186">
        <f>IF(AND(AV161&lt;=500000, AV161&lt;&gt;0),IF(AV165&lt;=12500,AV165,12500),0)</f>
        <v>0</v>
      </c>
      <c r="AW167" s="186"/>
      <c r="AX167" s="186"/>
      <c r="AY167" s="186"/>
      <c r="AZ167" s="186"/>
      <c r="BA167" s="186"/>
      <c r="BB167" s="186"/>
      <c r="BC167" s="186"/>
      <c r="BD167" s="186"/>
      <c r="BE167" s="186"/>
      <c r="BF167" s="186"/>
      <c r="BG167" s="186"/>
      <c r="BH167" s="186"/>
      <c r="BI167" s="186"/>
      <c r="BJ167" s="186"/>
    </row>
    <row r="168" spans="2:75" ht="5.25" customHeight="1" x14ac:dyDescent="0.25">
      <c r="B168" s="20"/>
      <c r="BJ168" s="26"/>
    </row>
    <row r="169" spans="2:75" x14ac:dyDescent="0.25">
      <c r="B169" s="20"/>
      <c r="C169" s="195" t="s">
        <v>188</v>
      </c>
      <c r="D169" s="195"/>
      <c r="E169" s="195"/>
      <c r="F169" s="195"/>
      <c r="G169" s="195"/>
      <c r="H169" s="195"/>
      <c r="I169" s="195"/>
      <c r="J169" s="195"/>
      <c r="K169" s="195"/>
      <c r="L169" s="195"/>
      <c r="M169" s="195"/>
      <c r="N169" s="195"/>
      <c r="O169" s="195"/>
      <c r="P169" s="195"/>
      <c r="Q169" s="195"/>
      <c r="R169" s="195"/>
      <c r="S169" s="195"/>
      <c r="T169" s="195"/>
      <c r="U169" s="195"/>
      <c r="V169" s="195"/>
      <c r="W169" s="195"/>
      <c r="X169" s="195"/>
      <c r="Y169" s="195"/>
      <c r="Z169" s="195"/>
      <c r="AA169" s="195"/>
      <c r="AB169" s="195"/>
      <c r="AC169" s="195"/>
      <c r="AD169" s="195"/>
      <c r="AE169" s="195"/>
      <c r="AF169" s="195"/>
      <c r="AG169" s="195"/>
      <c r="AH169" s="195"/>
      <c r="AI169" s="195"/>
      <c r="AJ169" s="195"/>
      <c r="AK169" s="195"/>
      <c r="AL169" s="195"/>
      <c r="AM169" s="195"/>
      <c r="AN169" s="195"/>
      <c r="AO169" s="195"/>
      <c r="AP169" s="195"/>
      <c r="AQ169" s="195"/>
      <c r="AR169" s="195"/>
      <c r="AS169" s="195"/>
      <c r="AT169" s="195"/>
      <c r="AU169" s="81" t="s">
        <v>5</v>
      </c>
      <c r="AV169" s="186">
        <f>IF((AV165&lt;AV167),0,ROUND(ABS(AV165-AV167),0))</f>
        <v>0</v>
      </c>
      <c r="AW169" s="186"/>
      <c r="AX169" s="186"/>
      <c r="AY169" s="186"/>
      <c r="AZ169" s="186"/>
      <c r="BA169" s="186"/>
      <c r="BB169" s="186"/>
      <c r="BC169" s="186"/>
      <c r="BD169" s="186"/>
      <c r="BE169" s="186"/>
      <c r="BF169" s="186"/>
      <c r="BG169" s="186"/>
      <c r="BH169" s="186"/>
      <c r="BI169" s="186"/>
      <c r="BJ169" s="186"/>
    </row>
    <row r="170" spans="2:75" ht="5.25" customHeight="1" x14ac:dyDescent="0.25">
      <c r="B170" s="20"/>
      <c r="BJ170" s="26"/>
    </row>
    <row r="171" spans="2:75" x14ac:dyDescent="0.25">
      <c r="B171" s="20"/>
      <c r="C171" s="195" t="s">
        <v>142</v>
      </c>
      <c r="D171" s="195"/>
      <c r="E171" s="195"/>
      <c r="F171" s="195"/>
      <c r="G171" s="195"/>
      <c r="H171" s="195"/>
      <c r="I171" s="195"/>
      <c r="J171" s="195"/>
      <c r="K171" s="195"/>
      <c r="L171" s="195"/>
      <c r="M171" s="195"/>
      <c r="N171" s="195"/>
      <c r="O171" s="195"/>
      <c r="P171" s="195"/>
      <c r="Q171" s="195"/>
      <c r="R171" s="195"/>
      <c r="S171" s="195"/>
      <c r="T171" s="195"/>
      <c r="U171" s="195"/>
      <c r="V171" s="195"/>
      <c r="W171" s="195"/>
      <c r="X171" s="195"/>
      <c r="Y171" s="195"/>
      <c r="Z171" s="195"/>
      <c r="AA171" s="195"/>
      <c r="AB171" s="195"/>
      <c r="AC171" s="195"/>
      <c r="AD171" s="195"/>
      <c r="AE171" s="195"/>
      <c r="AF171" s="195"/>
      <c r="AG171" s="195"/>
      <c r="AH171" s="195"/>
      <c r="AI171" s="195"/>
      <c r="AJ171" s="195"/>
      <c r="AK171" s="195"/>
      <c r="AL171" s="195"/>
      <c r="AM171" s="195"/>
      <c r="AN171" s="195"/>
      <c r="AO171" s="195"/>
      <c r="AP171" s="195"/>
      <c r="AQ171" s="195"/>
      <c r="AR171" s="195"/>
      <c r="AS171" s="195"/>
      <c r="AT171" s="195"/>
      <c r="AU171" s="81" t="s">
        <v>5</v>
      </c>
      <c r="AV171" s="186">
        <f>IF(AV169&lt;&gt;0,ROUND(AV169*0.04,0),0)</f>
        <v>0</v>
      </c>
      <c r="AW171" s="186"/>
      <c r="AX171" s="186"/>
      <c r="AY171" s="186"/>
      <c r="AZ171" s="186"/>
      <c r="BA171" s="186"/>
      <c r="BB171" s="186"/>
      <c r="BC171" s="186"/>
      <c r="BD171" s="186"/>
      <c r="BE171" s="186"/>
      <c r="BF171" s="186"/>
      <c r="BG171" s="186"/>
      <c r="BH171" s="186"/>
      <c r="BI171" s="186"/>
      <c r="BJ171" s="186"/>
    </row>
    <row r="172" spans="2:75" ht="5.25" customHeight="1" x14ac:dyDescent="0.25">
      <c r="B172" s="20"/>
      <c r="BJ172" s="26"/>
    </row>
    <row r="173" spans="2:75" x14ac:dyDescent="0.25">
      <c r="B173" s="20"/>
      <c r="C173" s="195" t="s">
        <v>151</v>
      </c>
      <c r="D173" s="195"/>
      <c r="E173" s="195"/>
      <c r="F173" s="195"/>
      <c r="G173" s="195"/>
      <c r="H173" s="195"/>
      <c r="I173" s="195"/>
      <c r="J173" s="195"/>
      <c r="K173" s="195"/>
      <c r="L173" s="195"/>
      <c r="M173" s="195"/>
      <c r="N173" s="195"/>
      <c r="O173" s="195"/>
      <c r="P173" s="195"/>
      <c r="Q173" s="195"/>
      <c r="R173" s="195"/>
      <c r="S173" s="195"/>
      <c r="T173" s="195"/>
      <c r="U173" s="195"/>
      <c r="V173" s="195"/>
      <c r="W173" s="195"/>
      <c r="X173" s="195"/>
      <c r="Y173" s="195"/>
      <c r="Z173" s="195"/>
      <c r="AA173" s="195"/>
      <c r="AB173" s="195"/>
      <c r="AC173" s="195"/>
      <c r="AD173" s="195"/>
      <c r="AE173" s="195"/>
      <c r="AF173" s="195"/>
      <c r="AG173" s="195"/>
      <c r="AH173" s="195"/>
      <c r="AI173" s="195"/>
      <c r="AJ173" s="195"/>
      <c r="AK173" s="195"/>
      <c r="AL173" s="195"/>
      <c r="AM173" s="195"/>
      <c r="AN173" s="195"/>
      <c r="AO173" s="195"/>
      <c r="AP173" s="195"/>
      <c r="AQ173" s="195"/>
      <c r="AR173" s="195"/>
      <c r="AS173" s="195"/>
      <c r="AT173" s="195"/>
      <c r="AU173" s="81" t="s">
        <v>5</v>
      </c>
      <c r="AV173" s="186">
        <f>AV169+AV171</f>
        <v>0</v>
      </c>
      <c r="AW173" s="186"/>
      <c r="AX173" s="186"/>
      <c r="AY173" s="186"/>
      <c r="AZ173" s="186"/>
      <c r="BA173" s="186"/>
      <c r="BB173" s="186"/>
      <c r="BC173" s="186"/>
      <c r="BD173" s="186"/>
      <c r="BE173" s="186"/>
      <c r="BF173" s="186"/>
      <c r="BG173" s="186"/>
      <c r="BH173" s="186"/>
      <c r="BI173" s="186"/>
      <c r="BJ173" s="186"/>
    </row>
    <row r="174" spans="2:75" ht="5.25" customHeight="1" x14ac:dyDescent="0.25">
      <c r="B174" s="20"/>
      <c r="BJ174" s="26"/>
    </row>
    <row r="175" spans="2:75" x14ac:dyDescent="0.25">
      <c r="B175" s="20"/>
      <c r="C175" s="195" t="s">
        <v>125</v>
      </c>
      <c r="D175" s="195"/>
      <c r="E175" s="195"/>
      <c r="F175" s="195"/>
      <c r="G175" s="195"/>
      <c r="H175" s="195"/>
      <c r="I175" s="195"/>
      <c r="J175" s="195"/>
      <c r="K175" s="195"/>
      <c r="L175" s="195"/>
      <c r="M175" s="195"/>
      <c r="N175" s="195"/>
      <c r="O175" s="195"/>
      <c r="P175" s="195"/>
      <c r="Q175" s="195"/>
      <c r="R175" s="195"/>
      <c r="S175" s="195"/>
      <c r="T175" s="195"/>
      <c r="U175" s="195"/>
      <c r="V175" s="195"/>
      <c r="W175" s="195"/>
      <c r="X175" s="195"/>
      <c r="Y175" s="195"/>
      <c r="Z175" s="195"/>
      <c r="AA175" s="195"/>
      <c r="AB175" s="195"/>
      <c r="AC175" s="195"/>
      <c r="AD175" s="195"/>
      <c r="AE175" s="195"/>
      <c r="AF175" s="195"/>
      <c r="AG175" s="195"/>
      <c r="AH175" s="195"/>
      <c r="AI175" s="195"/>
      <c r="AJ175" s="195"/>
      <c r="AK175" s="195"/>
      <c r="AL175" s="195"/>
      <c r="AM175" s="195"/>
      <c r="AN175" s="195"/>
      <c r="AO175" s="195"/>
      <c r="AP175" s="195"/>
      <c r="AQ175" s="195"/>
      <c r="AR175" s="195"/>
      <c r="AS175" s="195"/>
      <c r="AT175" s="195"/>
      <c r="AU175" s="81" t="s">
        <v>5</v>
      </c>
      <c r="AV175" s="186">
        <f>IF(ISNUMBER('Form 10E - Old Scheme'!AF79),'Form 10E - Old Scheme'!AF79,0)</f>
        <v>0</v>
      </c>
      <c r="AW175" s="186"/>
      <c r="AX175" s="186"/>
      <c r="AY175" s="186"/>
      <c r="AZ175" s="186"/>
      <c r="BA175" s="186"/>
      <c r="BB175" s="186"/>
      <c r="BC175" s="186"/>
      <c r="BD175" s="186"/>
      <c r="BE175" s="186"/>
      <c r="BF175" s="186"/>
      <c r="BG175" s="186"/>
      <c r="BH175" s="186"/>
      <c r="BI175" s="186"/>
      <c r="BJ175" s="186"/>
    </row>
    <row r="176" spans="2:75" ht="5.25" customHeight="1" x14ac:dyDescent="0.25">
      <c r="B176" s="20"/>
      <c r="BJ176" s="26"/>
    </row>
    <row r="177" spans="2:71" x14ac:dyDescent="0.25">
      <c r="B177" s="282" t="str">
        <f>IF(AV175&gt;AV173, "10. Refund (f - e)  ",   "10. Balance Tax After Relief / Amount payable  (e - f)  ")</f>
        <v xml:space="preserve">10. Balance Tax After Relief / Amount payable  (e - f)  </v>
      </c>
      <c r="C177" s="195"/>
      <c r="D177" s="195"/>
      <c r="E177" s="195"/>
      <c r="F177" s="195"/>
      <c r="G177" s="195"/>
      <c r="H177" s="195"/>
      <c r="I177" s="195"/>
      <c r="J177" s="195"/>
      <c r="K177" s="195"/>
      <c r="L177" s="195"/>
      <c r="M177" s="195"/>
      <c r="N177" s="195"/>
      <c r="O177" s="195"/>
      <c r="P177" s="195"/>
      <c r="Q177" s="195"/>
      <c r="R177" s="195"/>
      <c r="S177" s="195"/>
      <c r="T177" s="195"/>
      <c r="U177" s="195"/>
      <c r="V177" s="195"/>
      <c r="W177" s="195"/>
      <c r="X177" s="195"/>
      <c r="Y177" s="195"/>
      <c r="Z177" s="195"/>
      <c r="AA177" s="195"/>
      <c r="AB177" s="195"/>
      <c r="AC177" s="195"/>
      <c r="AD177" s="195"/>
      <c r="AE177" s="195"/>
      <c r="AF177" s="195"/>
      <c r="AG177" s="195"/>
      <c r="AH177" s="195"/>
      <c r="AI177" s="195"/>
      <c r="AJ177" s="195"/>
      <c r="AK177" s="195"/>
      <c r="AL177" s="195"/>
      <c r="AM177" s="195"/>
      <c r="AN177" s="195"/>
      <c r="AO177" s="195"/>
      <c r="AP177" s="195"/>
      <c r="AQ177" s="195"/>
      <c r="AR177" s="195"/>
      <c r="AS177" s="195"/>
      <c r="AT177" s="195"/>
      <c r="AU177" s="81" t="s">
        <v>5</v>
      </c>
      <c r="AV177" s="186" t="str">
        <f>IF(AV173&lt;&gt;AV175,MROUND(ABS(AV173-AV175),10),"NIL")</f>
        <v>NIL</v>
      </c>
      <c r="AW177" s="186"/>
      <c r="AX177" s="186"/>
      <c r="AY177" s="186"/>
      <c r="AZ177" s="186"/>
      <c r="BA177" s="186"/>
      <c r="BB177" s="186"/>
      <c r="BC177" s="186"/>
      <c r="BD177" s="186"/>
      <c r="BE177" s="186"/>
      <c r="BF177" s="186"/>
      <c r="BG177" s="186"/>
      <c r="BH177" s="186"/>
      <c r="BI177" s="186"/>
      <c r="BJ177" s="186"/>
      <c r="BR177" s="12" t="s">
        <v>162</v>
      </c>
      <c r="BS177" s="27"/>
    </row>
    <row r="178" spans="2:71" ht="6.9" customHeight="1" x14ac:dyDescent="0.25"/>
    <row r="179" spans="2:71" x14ac:dyDescent="0.25">
      <c r="B179" s="231" t="s">
        <v>227</v>
      </c>
      <c r="C179" s="232"/>
      <c r="D179" s="232"/>
      <c r="E179" s="232"/>
      <c r="F179" s="232"/>
      <c r="G179" s="232"/>
      <c r="H179" s="232"/>
      <c r="I179" s="232"/>
      <c r="J179" s="232"/>
      <c r="K179" s="232"/>
      <c r="L179" s="232"/>
      <c r="M179" s="232"/>
      <c r="N179" s="232"/>
      <c r="O179" s="232"/>
      <c r="P179" s="232"/>
      <c r="Q179" s="232"/>
      <c r="R179" s="232"/>
      <c r="S179" s="232"/>
      <c r="T179" s="232"/>
      <c r="U179" s="232"/>
      <c r="V179" s="232"/>
      <c r="W179" s="232"/>
      <c r="X179" s="232"/>
      <c r="Y179" s="232"/>
      <c r="Z179" s="232"/>
      <c r="AA179" s="232"/>
      <c r="AB179" s="232"/>
      <c r="AC179" s="232"/>
      <c r="AD179" s="232"/>
      <c r="AE179" s="232"/>
      <c r="AF179" s="232"/>
      <c r="AG179" s="232"/>
      <c r="AH179" s="232"/>
      <c r="AI179" s="232"/>
      <c r="AJ179" s="232"/>
      <c r="AK179" s="232"/>
      <c r="AL179" s="232"/>
      <c r="AM179" s="232"/>
      <c r="AN179" s="232"/>
      <c r="AO179" s="232"/>
      <c r="AP179" s="232"/>
      <c r="AQ179" s="232"/>
      <c r="AR179" s="232"/>
      <c r="AS179" s="232"/>
      <c r="AT179" s="232"/>
      <c r="AU179" s="232"/>
      <c r="AV179" s="232"/>
      <c r="AW179" s="232"/>
      <c r="AX179" s="232"/>
      <c r="AY179" s="232"/>
      <c r="AZ179" s="232"/>
      <c r="BA179" s="232"/>
      <c r="BB179" s="232"/>
      <c r="BC179" s="232"/>
      <c r="BD179" s="232"/>
      <c r="BE179" s="232"/>
      <c r="BF179" s="232"/>
      <c r="BG179" s="232"/>
      <c r="BH179" s="232"/>
      <c r="BI179" s="232"/>
      <c r="BJ179" s="283"/>
    </row>
    <row r="180" spans="2:71" ht="4.5" customHeight="1" x14ac:dyDescent="0.25">
      <c r="B180" s="20"/>
      <c r="BJ180" s="26"/>
    </row>
    <row r="181" spans="2:71" x14ac:dyDescent="0.25">
      <c r="B181" s="20"/>
      <c r="C181" s="188" t="s">
        <v>0</v>
      </c>
      <c r="D181" s="188"/>
      <c r="E181" s="188"/>
      <c r="F181" s="188"/>
      <c r="G181" s="188"/>
      <c r="H181" s="188"/>
      <c r="I181" s="188"/>
      <c r="J181" s="188"/>
      <c r="K181" s="188"/>
      <c r="L181" s="188"/>
      <c r="M181" s="188"/>
      <c r="N181" s="188"/>
      <c r="O181" s="188" t="s">
        <v>124</v>
      </c>
      <c r="P181" s="188"/>
      <c r="Q181" s="188"/>
      <c r="R181" s="188"/>
      <c r="S181" s="188"/>
      <c r="T181" s="188"/>
      <c r="U181" s="188"/>
      <c r="V181" s="188"/>
      <c r="W181" s="188" t="s">
        <v>0</v>
      </c>
      <c r="X181" s="188"/>
      <c r="Y181" s="188"/>
      <c r="Z181" s="188"/>
      <c r="AA181" s="188"/>
      <c r="AB181" s="188"/>
      <c r="AC181" s="188"/>
      <c r="AD181" s="188"/>
      <c r="AE181" s="188"/>
      <c r="AF181" s="188"/>
      <c r="AG181" s="188"/>
      <c r="AH181" s="188"/>
      <c r="AI181" s="188" t="s">
        <v>124</v>
      </c>
      <c r="AJ181" s="188"/>
      <c r="AK181" s="188"/>
      <c r="AL181" s="188"/>
      <c r="AM181" s="188"/>
      <c r="AN181" s="188"/>
      <c r="AO181" s="188"/>
      <c r="AP181" s="188"/>
      <c r="AQ181" s="188" t="s">
        <v>0</v>
      </c>
      <c r="AR181" s="188"/>
      <c r="AS181" s="188"/>
      <c r="AT181" s="188"/>
      <c r="AU181" s="188"/>
      <c r="AV181" s="188"/>
      <c r="AW181" s="188"/>
      <c r="AX181" s="188"/>
      <c r="AY181" s="188"/>
      <c r="AZ181" s="188"/>
      <c r="BA181" s="188"/>
      <c r="BB181" s="188"/>
      <c r="BC181" s="188" t="s">
        <v>124</v>
      </c>
      <c r="BD181" s="188"/>
      <c r="BE181" s="188"/>
      <c r="BF181" s="188"/>
      <c r="BG181" s="188"/>
      <c r="BH181" s="188"/>
      <c r="BI181" s="188"/>
      <c r="BJ181" s="188"/>
      <c r="BP181" s="43">
        <f>SUM(O182:V186,AI182:AP186,BC182,BC184,BC185)</f>
        <v>0</v>
      </c>
      <c r="BQ181" s="43">
        <f>IF(AND(SIGN(AV175-AV173)&lt;&gt;1,ISNUMBER(AV177)),IF(SIGN(BP181-AV177)&lt;&gt;1,ABS(BP181-AV177),0),0)</f>
        <v>0</v>
      </c>
      <c r="BR181" s="43">
        <f>IF(ISNUMBER(BQ181),MROUND(BQ181,100),0)</f>
        <v>0</v>
      </c>
    </row>
    <row r="182" spans="2:71" x14ac:dyDescent="0.25">
      <c r="B182" s="20"/>
      <c r="C182" s="290" t="s">
        <v>28</v>
      </c>
      <c r="D182" s="291"/>
      <c r="E182" s="291"/>
      <c r="F182" s="291"/>
      <c r="G182" s="291"/>
      <c r="H182" s="291"/>
      <c r="I182" s="291"/>
      <c r="J182" s="291"/>
      <c r="K182" s="169">
        <v>2024</v>
      </c>
      <c r="L182" s="169"/>
      <c r="M182" s="169"/>
      <c r="N182" s="170"/>
      <c r="O182" s="156"/>
      <c r="P182" s="156"/>
      <c r="Q182" s="156"/>
      <c r="R182" s="156"/>
      <c r="S182" s="156"/>
      <c r="T182" s="156"/>
      <c r="U182" s="156"/>
      <c r="V182" s="157"/>
      <c r="W182" s="290" t="s">
        <v>33</v>
      </c>
      <c r="X182" s="291"/>
      <c r="Y182" s="291"/>
      <c r="Z182" s="291"/>
      <c r="AA182" s="291"/>
      <c r="AB182" s="291"/>
      <c r="AC182" s="291"/>
      <c r="AD182" s="291"/>
      <c r="AE182" s="169">
        <v>2024</v>
      </c>
      <c r="AF182" s="169"/>
      <c r="AG182" s="169"/>
      <c r="AH182" s="170"/>
      <c r="AI182" s="155"/>
      <c r="AJ182" s="156"/>
      <c r="AK182" s="156"/>
      <c r="AL182" s="156"/>
      <c r="AM182" s="156"/>
      <c r="AN182" s="156"/>
      <c r="AO182" s="156"/>
      <c r="AP182" s="157"/>
      <c r="AQ182" s="289" t="s">
        <v>26</v>
      </c>
      <c r="AR182" s="289"/>
      <c r="AS182" s="289"/>
      <c r="AT182" s="289"/>
      <c r="AU182" s="289"/>
      <c r="AV182" s="289"/>
      <c r="AW182" s="289"/>
      <c r="AX182" s="290"/>
      <c r="AY182" s="169">
        <v>2025</v>
      </c>
      <c r="AZ182" s="169"/>
      <c r="BA182" s="169"/>
      <c r="BB182" s="170"/>
      <c r="BC182" s="156"/>
      <c r="BD182" s="156"/>
      <c r="BE182" s="156"/>
      <c r="BF182" s="156"/>
      <c r="BG182" s="156"/>
      <c r="BH182" s="156"/>
      <c r="BI182" s="156"/>
      <c r="BJ182" s="157"/>
    </row>
    <row r="183" spans="2:71" x14ac:dyDescent="0.25">
      <c r="B183" s="20"/>
      <c r="C183" s="290" t="s">
        <v>29</v>
      </c>
      <c r="D183" s="291"/>
      <c r="E183" s="291"/>
      <c r="F183" s="291"/>
      <c r="G183" s="291"/>
      <c r="H183" s="291"/>
      <c r="I183" s="291"/>
      <c r="J183" s="291"/>
      <c r="K183" s="169">
        <v>2024</v>
      </c>
      <c r="L183" s="169"/>
      <c r="M183" s="169"/>
      <c r="N183" s="170"/>
      <c r="O183" s="156"/>
      <c r="P183" s="156"/>
      <c r="Q183" s="156"/>
      <c r="R183" s="156"/>
      <c r="S183" s="156"/>
      <c r="T183" s="156"/>
      <c r="U183" s="156"/>
      <c r="V183" s="157"/>
      <c r="W183" s="290" t="s">
        <v>24</v>
      </c>
      <c r="X183" s="291"/>
      <c r="Y183" s="291"/>
      <c r="Z183" s="291"/>
      <c r="AA183" s="291"/>
      <c r="AB183" s="291"/>
      <c r="AC183" s="291"/>
      <c r="AD183" s="291"/>
      <c r="AE183" s="169">
        <v>2024</v>
      </c>
      <c r="AF183" s="169"/>
      <c r="AG183" s="169"/>
      <c r="AH183" s="170"/>
      <c r="AI183" s="155"/>
      <c r="AJ183" s="156"/>
      <c r="AK183" s="156"/>
      <c r="AL183" s="156"/>
      <c r="AM183" s="156"/>
      <c r="AN183" s="156"/>
      <c r="AO183" s="156"/>
      <c r="AP183" s="157"/>
      <c r="AQ183" s="289" t="s">
        <v>25</v>
      </c>
      <c r="AR183" s="289"/>
      <c r="AS183" s="289"/>
      <c r="AT183" s="289"/>
      <c r="AU183" s="289"/>
      <c r="AV183" s="289"/>
      <c r="AW183" s="289"/>
      <c r="AX183" s="290"/>
      <c r="AY183" s="169">
        <v>2025</v>
      </c>
      <c r="AZ183" s="169"/>
      <c r="BA183" s="169"/>
      <c r="BB183" s="170"/>
      <c r="BC183" s="162">
        <f>IF(AND(ISNUMBER(AV177),ISNUMBER(BQ181)),IF(AND(SIGN(AV175-AV173)=-1,SIGN(BP181-AV177)&lt;&gt;1),ROUND(ABS(AV177-SUM(O182:V186,AI182:AP186,BC182,BC184:BJ185)),0),0),0)</f>
        <v>0</v>
      </c>
      <c r="BD183" s="162"/>
      <c r="BE183" s="162"/>
      <c r="BF183" s="162"/>
      <c r="BG183" s="162"/>
      <c r="BH183" s="162"/>
      <c r="BI183" s="162"/>
      <c r="BJ183" s="163"/>
      <c r="BQ183" s="46"/>
    </row>
    <row r="184" spans="2:71" x14ac:dyDescent="0.25">
      <c r="B184" s="20"/>
      <c r="C184" s="290" t="s">
        <v>30</v>
      </c>
      <c r="D184" s="291"/>
      <c r="E184" s="291"/>
      <c r="F184" s="291"/>
      <c r="G184" s="291"/>
      <c r="H184" s="291"/>
      <c r="I184" s="291"/>
      <c r="J184" s="291"/>
      <c r="K184" s="169">
        <v>2024</v>
      </c>
      <c r="L184" s="169"/>
      <c r="M184" s="169"/>
      <c r="N184" s="170"/>
      <c r="O184" s="156"/>
      <c r="P184" s="156"/>
      <c r="Q184" s="156"/>
      <c r="R184" s="156"/>
      <c r="S184" s="156"/>
      <c r="T184" s="156"/>
      <c r="U184" s="156"/>
      <c r="V184" s="157"/>
      <c r="W184" s="290" t="s">
        <v>34</v>
      </c>
      <c r="X184" s="291"/>
      <c r="Y184" s="291"/>
      <c r="Z184" s="291"/>
      <c r="AA184" s="291"/>
      <c r="AB184" s="291"/>
      <c r="AC184" s="291"/>
      <c r="AD184" s="291"/>
      <c r="AE184" s="169">
        <v>2024</v>
      </c>
      <c r="AF184" s="169"/>
      <c r="AG184" s="169"/>
      <c r="AH184" s="170"/>
      <c r="AI184" s="155"/>
      <c r="AJ184" s="156"/>
      <c r="AK184" s="156"/>
      <c r="AL184" s="156"/>
      <c r="AM184" s="156"/>
      <c r="AN184" s="156"/>
      <c r="AO184" s="156"/>
      <c r="AP184" s="157"/>
      <c r="AQ184" s="292" t="s">
        <v>164</v>
      </c>
      <c r="AR184" s="202"/>
      <c r="AS184" s="202"/>
      <c r="AT184" s="202"/>
      <c r="AU184" s="202"/>
      <c r="AV184" s="202"/>
      <c r="AW184" s="202"/>
      <c r="AX184" s="202"/>
      <c r="AY184" s="202"/>
      <c r="AZ184" s="202"/>
      <c r="BA184" s="202"/>
      <c r="BB184" s="203"/>
      <c r="BC184" s="156"/>
      <c r="BD184" s="156"/>
      <c r="BE184" s="156"/>
      <c r="BF184" s="156"/>
      <c r="BG184" s="156"/>
      <c r="BH184" s="156"/>
      <c r="BI184" s="156"/>
      <c r="BJ184" s="157"/>
    </row>
    <row r="185" spans="2:71" x14ac:dyDescent="0.25">
      <c r="B185" s="20"/>
      <c r="C185" s="290" t="s">
        <v>31</v>
      </c>
      <c r="D185" s="291"/>
      <c r="E185" s="291"/>
      <c r="F185" s="291"/>
      <c r="G185" s="291"/>
      <c r="H185" s="291"/>
      <c r="I185" s="291"/>
      <c r="J185" s="291"/>
      <c r="K185" s="169">
        <v>2024</v>
      </c>
      <c r="L185" s="169"/>
      <c r="M185" s="169"/>
      <c r="N185" s="170"/>
      <c r="O185" s="156"/>
      <c r="P185" s="156"/>
      <c r="Q185" s="156"/>
      <c r="R185" s="156"/>
      <c r="S185" s="156"/>
      <c r="T185" s="156"/>
      <c r="U185" s="156"/>
      <c r="V185" s="157"/>
      <c r="W185" s="290" t="s">
        <v>35</v>
      </c>
      <c r="X185" s="291"/>
      <c r="Y185" s="291"/>
      <c r="Z185" s="291"/>
      <c r="AA185" s="291"/>
      <c r="AB185" s="291"/>
      <c r="AC185" s="291"/>
      <c r="AD185" s="291"/>
      <c r="AE185" s="169">
        <v>2024</v>
      </c>
      <c r="AF185" s="169"/>
      <c r="AG185" s="169"/>
      <c r="AH185" s="170"/>
      <c r="AI185" s="155"/>
      <c r="AJ185" s="156"/>
      <c r="AK185" s="156"/>
      <c r="AL185" s="156"/>
      <c r="AM185" s="156"/>
      <c r="AN185" s="156"/>
      <c r="AO185" s="156"/>
      <c r="AP185" s="157"/>
      <c r="AQ185" s="292" t="s">
        <v>164</v>
      </c>
      <c r="AR185" s="202"/>
      <c r="AS185" s="202"/>
      <c r="AT185" s="202"/>
      <c r="AU185" s="202"/>
      <c r="AV185" s="202"/>
      <c r="AW185" s="202"/>
      <c r="AX185" s="202"/>
      <c r="AY185" s="202"/>
      <c r="AZ185" s="202"/>
      <c r="BA185" s="202"/>
      <c r="BB185" s="203"/>
      <c r="BC185" s="156"/>
      <c r="BD185" s="156"/>
      <c r="BE185" s="156"/>
      <c r="BF185" s="156"/>
      <c r="BG185" s="156"/>
      <c r="BH185" s="156"/>
      <c r="BI185" s="156"/>
      <c r="BJ185" s="157"/>
    </row>
    <row r="186" spans="2:71" x14ac:dyDescent="0.25">
      <c r="B186" s="20"/>
      <c r="C186" s="290" t="s">
        <v>32</v>
      </c>
      <c r="D186" s="291"/>
      <c r="E186" s="291"/>
      <c r="F186" s="291"/>
      <c r="G186" s="291"/>
      <c r="H186" s="291"/>
      <c r="I186" s="291"/>
      <c r="J186" s="291"/>
      <c r="K186" s="169">
        <v>2024</v>
      </c>
      <c r="L186" s="169"/>
      <c r="M186" s="169"/>
      <c r="N186" s="170"/>
      <c r="O186" s="156"/>
      <c r="P186" s="156"/>
      <c r="Q186" s="156"/>
      <c r="R186" s="156"/>
      <c r="S186" s="156"/>
      <c r="T186" s="156"/>
      <c r="U186" s="156"/>
      <c r="V186" s="157"/>
      <c r="W186" s="290" t="s">
        <v>27</v>
      </c>
      <c r="X186" s="291"/>
      <c r="Y186" s="291"/>
      <c r="Z186" s="291"/>
      <c r="AA186" s="291"/>
      <c r="AB186" s="291"/>
      <c r="AC186" s="291"/>
      <c r="AD186" s="291"/>
      <c r="AE186" s="169">
        <v>2024</v>
      </c>
      <c r="AF186" s="169"/>
      <c r="AG186" s="169"/>
      <c r="AH186" s="170"/>
      <c r="AI186" s="155"/>
      <c r="AJ186" s="156"/>
      <c r="AK186" s="156"/>
      <c r="AL186" s="156"/>
      <c r="AM186" s="156"/>
      <c r="AN186" s="156"/>
      <c r="AO186" s="156"/>
      <c r="AP186" s="157"/>
      <c r="AQ186" s="226" t="s">
        <v>4</v>
      </c>
      <c r="AR186" s="293"/>
      <c r="AS186" s="293"/>
      <c r="AT186" s="293"/>
      <c r="AU186" s="293"/>
      <c r="AV186" s="293"/>
      <c r="AW186" s="293"/>
      <c r="AX186" s="293"/>
      <c r="AY186" s="222"/>
      <c r="AZ186" s="222"/>
      <c r="BA186" s="222"/>
      <c r="BB186" s="192"/>
      <c r="BC186" s="162">
        <f>SUM(O182:V186,AI182:AP186,BC182:BJ185)</f>
        <v>0</v>
      </c>
      <c r="BD186" s="162"/>
      <c r="BE186" s="162"/>
      <c r="BF186" s="162"/>
      <c r="BG186" s="162"/>
      <c r="BH186" s="162"/>
      <c r="BI186" s="162"/>
      <c r="BJ186" s="163"/>
    </row>
    <row r="187" spans="2:71" ht="6.9" customHeight="1" x14ac:dyDescent="0.25">
      <c r="B187" s="22"/>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c r="AA187" s="17"/>
      <c r="AB187" s="17"/>
      <c r="AC187" s="17"/>
      <c r="AD187" s="17"/>
      <c r="AE187" s="17"/>
      <c r="AF187" s="17"/>
      <c r="AG187" s="17"/>
      <c r="AH187" s="17"/>
      <c r="AI187" s="17"/>
      <c r="AJ187" s="17"/>
      <c r="AK187" s="17"/>
      <c r="AL187" s="17"/>
      <c r="AM187" s="17"/>
      <c r="AN187" s="17"/>
      <c r="AO187" s="17"/>
      <c r="AP187" s="17"/>
      <c r="AQ187" s="17"/>
      <c r="AR187" s="17"/>
      <c r="AS187" s="17"/>
      <c r="AT187" s="17"/>
      <c r="AU187" s="17"/>
      <c r="AV187" s="17"/>
      <c r="AW187" s="17"/>
      <c r="AX187" s="17"/>
      <c r="AY187" s="17"/>
      <c r="AZ187" s="17"/>
      <c r="BA187" s="17"/>
      <c r="BB187" s="17"/>
      <c r="BC187" s="17"/>
      <c r="BD187" s="17"/>
      <c r="BE187" s="17"/>
      <c r="BF187" s="17"/>
      <c r="BG187" s="17"/>
      <c r="BH187" s="17"/>
      <c r="BI187" s="17"/>
      <c r="BJ187" s="42"/>
    </row>
    <row r="188" spans="2:71" x14ac:dyDescent="0.25">
      <c r="B188" s="212" t="str">
        <f>IF(AV177&lt;&gt;"NIL",IF(AND(SIGN(AV173-AV175)&lt;&gt;-1,SIGN(AV177-BC186)&lt;&gt;-1,NOT(AV177=BC186)),"12. Tax Payable  (11 - 10)  :",IF(AND(SIGN(AV173-AV175)&lt;&gt;-1,SIGN(AV177-BC186)=-1),"12. Refundable (11 - 10)  :",IF(AND(SIGN(AV173-AV175)=-1,SIGN(AV177-BC186)=-1),"12. Refundable (11 - 10)  :",IF(AND(SIGN(AV173-AV175)=-1,SIGN(AV177-BC186)&lt;&gt;-1),"12. Refundable (11 - 10)  :",IF((AV177-BC186)=0,"12. Tax Payable  (11 - 10)  :",0))))),IF(BC186&lt;&gt;0, "12. Refundable (11 - 10)  :","12. Tax Payable  (11 - 10)  :"))</f>
        <v>12. Tax Payable  (11 - 10)  :</v>
      </c>
      <c r="C188" s="169"/>
      <c r="D188" s="169"/>
      <c r="E188" s="169"/>
      <c r="F188" s="169"/>
      <c r="G188" s="169"/>
      <c r="H188" s="169"/>
      <c r="I188" s="169"/>
      <c r="J188" s="169"/>
      <c r="K188" s="169"/>
      <c r="L188" s="169"/>
      <c r="M188" s="169"/>
      <c r="N188" s="169"/>
      <c r="O188" s="169"/>
      <c r="P188" s="169"/>
      <c r="Q188" s="169"/>
      <c r="R188" s="169"/>
      <c r="S188" s="169"/>
      <c r="T188" s="169"/>
      <c r="U188" s="169"/>
      <c r="V188" s="169"/>
      <c r="W188" s="169"/>
      <c r="X188" s="169"/>
      <c r="Y188" s="169"/>
      <c r="Z188" s="169"/>
      <c r="AA188" s="169"/>
      <c r="AB188" s="169"/>
      <c r="AC188" s="169"/>
      <c r="AD188" s="169"/>
      <c r="AE188" s="169"/>
      <c r="AF188" s="169"/>
      <c r="AG188" s="169"/>
      <c r="AH188" s="169"/>
      <c r="AI188" s="169"/>
      <c r="AJ188" s="169"/>
      <c r="AK188" s="169"/>
      <c r="AL188" s="169"/>
      <c r="AM188" s="169"/>
      <c r="AN188" s="169"/>
      <c r="AO188" s="169"/>
      <c r="AP188" s="169"/>
      <c r="AQ188" s="169"/>
      <c r="AR188" s="169"/>
      <c r="AS188" s="169"/>
      <c r="AT188" s="169"/>
      <c r="AU188" s="25"/>
      <c r="AV188" s="158" t="str">
        <f>IF(AV177&lt;&gt;"NIL",IF(AND(SIGN(AV173-AV175)&lt;&gt;-1,SIGN(AV177-BC186)&lt;&gt;-1,NOT(AV177=BC186)),MROUND(ABS(AV177-BC186),10),IF(AND(SIGN(AV173-AV175)&lt;&gt;-1,SIGN(AV177-BC186)=-1),MROUND(ABS(AV177-BC186),10),IF(AND(SIGN(AV173-AV175)=-1,SIGN(AV177-BC186)=-1),MROUND(ABS(AV177+BC186),10),IF(AND(SIGN(AV173-AV175)=-1,SIGN(AV177-BC186)&lt;&gt;-1),MROUND(ABS(AV177+BC186),10),IF((AV177-BC186)=0,"NIL",0))))),IF(BC186&lt;&gt;0,MROUND(BC186,10),"NIL"))</f>
        <v>NIL</v>
      </c>
      <c r="AW188" s="159"/>
      <c r="AX188" s="159"/>
      <c r="AY188" s="159"/>
      <c r="AZ188" s="159"/>
      <c r="BA188" s="159"/>
      <c r="BB188" s="159"/>
      <c r="BC188" s="159"/>
      <c r="BD188" s="159"/>
      <c r="BE188" s="159"/>
      <c r="BF188" s="159"/>
      <c r="BG188" s="159"/>
      <c r="BH188" s="159"/>
      <c r="BI188" s="159"/>
      <c r="BJ188" s="160"/>
    </row>
    <row r="189" spans="2:71" ht="6.9" customHeight="1" x14ac:dyDescent="0.25"/>
    <row r="190" spans="2:71" x14ac:dyDescent="0.25">
      <c r="B190" s="226" t="s">
        <v>126</v>
      </c>
      <c r="C190" s="293"/>
      <c r="D190" s="293"/>
      <c r="E190" s="293"/>
      <c r="F190" s="293"/>
      <c r="G190" s="293"/>
      <c r="H190" s="293"/>
      <c r="I190" s="293"/>
      <c r="J190" s="293"/>
      <c r="K190" s="293"/>
      <c r="L190" s="293"/>
      <c r="M190" s="293"/>
      <c r="N190" s="293"/>
      <c r="O190" s="293"/>
      <c r="P190" s="293"/>
      <c r="Q190" s="293"/>
      <c r="R190" s="293"/>
      <c r="S190" s="293"/>
      <c r="T190" s="293"/>
      <c r="U190" s="293"/>
      <c r="V190" s="293"/>
      <c r="W190" s="293"/>
      <c r="X190" s="293"/>
      <c r="Y190" s="293"/>
      <c r="Z190" s="293"/>
      <c r="AA190" s="293"/>
      <c r="AB190" s="293"/>
      <c r="AC190" s="293"/>
      <c r="AD190" s="293"/>
      <c r="AE190" s="293"/>
      <c r="AF190" s="293"/>
      <c r="AG190" s="293"/>
      <c r="AH190" s="293"/>
      <c r="AI190" s="293"/>
      <c r="AJ190" s="293"/>
      <c r="AK190" s="293"/>
      <c r="AL190" s="293"/>
      <c r="AM190" s="293"/>
      <c r="AN190" s="293"/>
      <c r="AO190" s="293"/>
      <c r="AP190" s="293"/>
      <c r="AQ190" s="293"/>
      <c r="AR190" s="293"/>
      <c r="AS190" s="293"/>
      <c r="AT190" s="293"/>
      <c r="AU190" s="293"/>
      <c r="AV190" s="293"/>
      <c r="AW190" s="293"/>
      <c r="AX190" s="293"/>
      <c r="AY190" s="293"/>
      <c r="AZ190" s="293"/>
      <c r="BA190" s="293"/>
      <c r="BB190" s="293"/>
      <c r="BC190" s="293"/>
      <c r="BD190" s="293"/>
      <c r="BE190" s="293"/>
      <c r="BF190" s="293"/>
      <c r="BG190" s="293"/>
      <c r="BH190" s="293"/>
      <c r="BI190" s="293"/>
      <c r="BJ190" s="330"/>
    </row>
    <row r="191" spans="2:71" ht="8.1" customHeight="1" x14ac:dyDescent="0.25">
      <c r="B191" s="20"/>
      <c r="BJ191" s="26"/>
    </row>
    <row r="192" spans="2:71" x14ac:dyDescent="0.25">
      <c r="B192" s="20"/>
      <c r="C192" s="304" t="s">
        <v>55</v>
      </c>
      <c r="D192" s="304"/>
      <c r="E192" s="305" t="str">
        <f>PROPER(L5)</f>
        <v xml:space="preserve"> </v>
      </c>
      <c r="F192" s="208"/>
      <c r="G192" s="208"/>
      <c r="H192" s="208"/>
      <c r="I192" s="208"/>
      <c r="J192" s="208"/>
      <c r="K192" s="208"/>
      <c r="L192" s="208"/>
      <c r="M192" s="208"/>
      <c r="N192" s="208"/>
      <c r="O192" s="208"/>
      <c r="P192" s="208"/>
      <c r="Q192" s="208"/>
      <c r="R192" s="208"/>
      <c r="S192" s="208"/>
      <c r="T192" s="208"/>
      <c r="U192" s="208"/>
      <c r="V192" s="208"/>
      <c r="W192" s="208"/>
      <c r="X192" s="208"/>
      <c r="Y192" s="208"/>
      <c r="Z192" s="304" t="s">
        <v>127</v>
      </c>
      <c r="AA192" s="304"/>
      <c r="AB192" s="304"/>
      <c r="AC192" s="304"/>
      <c r="AD192" s="304"/>
      <c r="AE192" s="304"/>
      <c r="AF192" s="304"/>
      <c r="AG192" s="304"/>
      <c r="AH192" s="304"/>
      <c r="AI192" s="305" t="str">
        <f>IF(ISBLANK('Basic Information'!L8)," ",PROPER('Basic Information'!L8))</f>
        <v xml:space="preserve"> </v>
      </c>
      <c r="AJ192" s="305"/>
      <c r="AK192" s="305"/>
      <c r="AL192" s="305"/>
      <c r="AM192" s="305"/>
      <c r="AN192" s="305"/>
      <c r="AO192" s="305"/>
      <c r="AP192" s="305"/>
      <c r="AQ192" s="305"/>
      <c r="AR192" s="305"/>
      <c r="AS192" s="305"/>
      <c r="AT192" s="305"/>
      <c r="AU192" s="305"/>
      <c r="AV192" s="305"/>
      <c r="AW192" s="305"/>
      <c r="AX192" s="305"/>
      <c r="AY192" s="305"/>
      <c r="AZ192" s="304" t="s">
        <v>128</v>
      </c>
      <c r="BA192" s="304"/>
      <c r="BB192" s="304"/>
      <c r="BC192" s="304"/>
      <c r="BD192" s="304"/>
      <c r="BE192" s="304"/>
      <c r="BF192" s="304"/>
      <c r="BG192" s="304"/>
      <c r="BH192" s="304"/>
      <c r="BI192" s="304"/>
      <c r="BJ192" s="331"/>
    </row>
    <row r="193" spans="2:62" x14ac:dyDescent="0.25">
      <c r="B193" s="20"/>
      <c r="C193" s="304" t="s">
        <v>129</v>
      </c>
      <c r="D193" s="304"/>
      <c r="E193" s="304"/>
      <c r="F193" s="304"/>
      <c r="G193" s="304"/>
      <c r="H193" s="304"/>
      <c r="I193" s="304"/>
      <c r="J193" s="304"/>
      <c r="K193" s="304"/>
      <c r="L193" s="304"/>
      <c r="M193" s="304"/>
      <c r="N193" s="304"/>
      <c r="O193" s="304"/>
      <c r="P193" s="304"/>
      <c r="Q193" s="304"/>
      <c r="R193" s="304"/>
      <c r="S193" s="304"/>
      <c r="T193" s="304"/>
      <c r="U193" s="304"/>
      <c r="V193" s="304"/>
      <c r="W193" s="304"/>
      <c r="X193" s="304"/>
      <c r="Y193" s="304"/>
      <c r="Z193" s="304"/>
      <c r="AA193" s="304"/>
      <c r="AB193" s="304"/>
      <c r="AC193" s="304"/>
      <c r="AD193" s="304"/>
      <c r="AE193" s="304"/>
      <c r="AF193" s="304"/>
      <c r="AG193" s="304"/>
      <c r="AH193" s="304"/>
      <c r="AI193" s="304"/>
      <c r="AJ193" s="304"/>
      <c r="AK193" s="304"/>
      <c r="AL193" s="304"/>
      <c r="AM193" s="304"/>
      <c r="AN193" s="304"/>
      <c r="AO193" s="304"/>
      <c r="AP193" s="304"/>
      <c r="AQ193" s="304"/>
      <c r="AR193" s="304"/>
      <c r="AS193" s="304"/>
      <c r="AT193" s="304"/>
      <c r="AU193" s="304"/>
      <c r="AV193" s="304"/>
      <c r="AW193" s="304"/>
      <c r="AX193" s="304"/>
      <c r="AY193" s="304"/>
      <c r="AZ193" s="304"/>
      <c r="BA193" s="304"/>
      <c r="BB193" s="304"/>
      <c r="BC193" s="304"/>
      <c r="BD193" s="304"/>
      <c r="BE193" s="304"/>
      <c r="BF193" s="304"/>
      <c r="BG193" s="304"/>
      <c r="BH193" s="304"/>
      <c r="BI193" s="304"/>
      <c r="BJ193" s="26"/>
    </row>
    <row r="194" spans="2:62" x14ac:dyDescent="0.25">
      <c r="B194" s="20"/>
      <c r="C194" s="304" t="s">
        <v>197</v>
      </c>
      <c r="D194" s="304"/>
      <c r="E194" s="304"/>
      <c r="F194" s="304"/>
      <c r="G194" s="304"/>
      <c r="H194" s="304"/>
      <c r="I194" s="304"/>
      <c r="J194" s="304"/>
      <c r="K194" s="304"/>
      <c r="L194" s="304"/>
      <c r="M194" s="304"/>
      <c r="N194" s="304"/>
      <c r="O194" s="304"/>
      <c r="P194" s="304"/>
      <c r="Q194" s="304"/>
      <c r="R194" s="304"/>
      <c r="S194" s="304"/>
      <c r="T194" s="304"/>
      <c r="U194" s="304"/>
      <c r="V194" s="304"/>
      <c r="W194" s="304"/>
      <c r="X194" s="304"/>
      <c r="Y194" s="304"/>
      <c r="Z194" s="304"/>
      <c r="AA194" s="304"/>
      <c r="AB194" s="304"/>
      <c r="AC194" s="304"/>
      <c r="AD194" s="304"/>
      <c r="AE194" s="304"/>
      <c r="AF194" s="304"/>
      <c r="AG194" s="304"/>
      <c r="AH194" s="304"/>
      <c r="AI194" s="304"/>
      <c r="AJ194" s="304"/>
      <c r="AK194" s="304"/>
      <c r="AL194" s="304"/>
      <c r="AM194" s="304"/>
      <c r="AN194" s="304"/>
      <c r="AO194" s="304"/>
      <c r="AP194" s="304"/>
      <c r="AQ194" s="304"/>
      <c r="AR194" s="304"/>
      <c r="AS194" s="304"/>
      <c r="AT194" s="304"/>
      <c r="AU194" s="304"/>
      <c r="AV194" s="304"/>
      <c r="AW194" s="304"/>
      <c r="AX194" s="304"/>
      <c r="AY194" s="304"/>
      <c r="AZ194" s="304"/>
      <c r="BA194" s="304"/>
      <c r="BB194" s="304"/>
      <c r="BC194" s="304"/>
      <c r="BD194" s="304"/>
      <c r="BE194" s="304"/>
      <c r="BF194" s="304"/>
      <c r="BG194" s="304"/>
      <c r="BH194" s="304"/>
      <c r="BI194" s="304"/>
      <c r="BJ194" s="26"/>
    </row>
    <row r="195" spans="2:62" x14ac:dyDescent="0.25">
      <c r="B195" s="20"/>
      <c r="C195" s="304" t="s">
        <v>131</v>
      </c>
      <c r="D195" s="304"/>
      <c r="E195" s="304"/>
      <c r="F195" s="304"/>
      <c r="G195" s="304"/>
      <c r="H195" s="304"/>
      <c r="I195" s="304"/>
      <c r="J195" s="304"/>
      <c r="K195" s="304"/>
      <c r="L195" s="304"/>
      <c r="M195" s="304"/>
      <c r="N195" s="304"/>
      <c r="O195" s="304"/>
      <c r="P195" s="304"/>
      <c r="Q195" s="304"/>
      <c r="R195" s="304"/>
      <c r="S195" s="304"/>
      <c r="T195" s="304"/>
      <c r="U195" s="304"/>
      <c r="V195" s="304"/>
      <c r="W195" s="304"/>
      <c r="X195" s="304"/>
      <c r="Y195" s="305" t="str">
        <f>UPPER(AN5)</f>
        <v xml:space="preserve"> </v>
      </c>
      <c r="Z195" s="305"/>
      <c r="AA195" s="305"/>
      <c r="AB195" s="305"/>
      <c r="AC195" s="305"/>
      <c r="AD195" s="305"/>
      <c r="AE195" s="305"/>
      <c r="AF195" s="305"/>
      <c r="AG195" s="304"/>
      <c r="AH195" s="12" t="s">
        <v>130</v>
      </c>
      <c r="BJ195" s="26"/>
    </row>
    <row r="196" spans="2:62" ht="6" customHeight="1" x14ac:dyDescent="0.25">
      <c r="B196" s="20"/>
      <c r="BJ196" s="26"/>
    </row>
    <row r="197" spans="2:62" ht="6" customHeight="1" x14ac:dyDescent="0.25">
      <c r="B197" s="20"/>
      <c r="BJ197" s="26"/>
    </row>
    <row r="198" spans="2:62" x14ac:dyDescent="0.25">
      <c r="B198" s="20"/>
      <c r="AF198" s="304" t="s">
        <v>14</v>
      </c>
      <c r="AG198" s="304"/>
      <c r="AH198" s="304"/>
      <c r="AI198" s="304"/>
      <c r="AJ198" s="304"/>
      <c r="AK198" s="304"/>
      <c r="AL198" s="304"/>
      <c r="AM198" s="304"/>
      <c r="AN198" s="27" t="s">
        <v>5</v>
      </c>
      <c r="BJ198" s="26"/>
    </row>
    <row r="199" spans="2:62" ht="8.1" customHeight="1" x14ac:dyDescent="0.25">
      <c r="B199" s="20"/>
      <c r="BJ199" s="26"/>
    </row>
    <row r="200" spans="2:62" ht="14.4" x14ac:dyDescent="0.25">
      <c r="B200" s="271" t="s">
        <v>11</v>
      </c>
      <c r="C200" s="304"/>
      <c r="D200" s="304"/>
      <c r="E200" s="304"/>
      <c r="F200" s="304"/>
      <c r="G200" s="27" t="s">
        <v>5</v>
      </c>
      <c r="H200" s="208" t="str">
        <f>IF(ISBLANK('Basic Information'!H34)," ",PROPER('Basic Information'!H34))</f>
        <v xml:space="preserve"> </v>
      </c>
      <c r="I200" s="208"/>
      <c r="J200" s="208"/>
      <c r="K200" s="208"/>
      <c r="L200" s="208"/>
      <c r="M200" s="208"/>
      <c r="N200" s="208"/>
      <c r="O200" s="208"/>
      <c r="P200" s="208"/>
      <c r="Q200" s="208"/>
      <c r="R200" s="208"/>
      <c r="S200" s="208"/>
      <c r="T200" s="209"/>
      <c r="U200" s="209"/>
      <c r="V200" s="209"/>
      <c r="W200" s="209"/>
      <c r="X200" s="209"/>
      <c r="AF200" s="304" t="s">
        <v>13</v>
      </c>
      <c r="AG200" s="304"/>
      <c r="AH200" s="304"/>
      <c r="AI200" s="304"/>
      <c r="AJ200" s="304"/>
      <c r="AK200" s="304"/>
      <c r="AL200" s="304"/>
      <c r="AM200" s="304"/>
      <c r="AN200" s="27" t="s">
        <v>5</v>
      </c>
      <c r="AO200" s="208" t="str">
        <f>PROPER(L5)</f>
        <v xml:space="preserve"> </v>
      </c>
      <c r="AP200" s="208"/>
      <c r="AQ200" s="208"/>
      <c r="AR200" s="208"/>
      <c r="AS200" s="208"/>
      <c r="AT200" s="208"/>
      <c r="AU200" s="208"/>
      <c r="AV200" s="208"/>
      <c r="AW200" s="208"/>
      <c r="AX200" s="208"/>
      <c r="AY200" s="208"/>
      <c r="AZ200" s="208"/>
      <c r="BA200" s="208"/>
      <c r="BB200" s="208"/>
      <c r="BC200" s="208"/>
      <c r="BD200" s="208"/>
      <c r="BE200" s="208"/>
      <c r="BF200" s="208"/>
      <c r="BG200" s="208"/>
      <c r="BH200" s="208"/>
      <c r="BI200" s="208"/>
      <c r="BJ200" s="26"/>
    </row>
    <row r="201" spans="2:62" ht="6.9" customHeight="1" x14ac:dyDescent="0.25">
      <c r="B201" s="20"/>
      <c r="BJ201" s="26"/>
    </row>
    <row r="202" spans="2:62" x14ac:dyDescent="0.25">
      <c r="B202" s="271" t="s">
        <v>12</v>
      </c>
      <c r="C202" s="304"/>
      <c r="D202" s="304"/>
      <c r="E202" s="304"/>
      <c r="F202" s="304"/>
      <c r="G202" s="27" t="s">
        <v>5</v>
      </c>
      <c r="H202" s="208" t="str">
        <f>IF(ISBLANK('Basic Information'!H36)," ",PROPER('Basic Information'!H36))</f>
        <v xml:space="preserve"> </v>
      </c>
      <c r="I202" s="208"/>
      <c r="J202" s="208"/>
      <c r="K202" s="208"/>
      <c r="L202" s="208"/>
      <c r="M202" s="208"/>
      <c r="N202" s="208"/>
      <c r="O202" s="208"/>
      <c r="P202" s="208"/>
      <c r="Q202" s="208"/>
      <c r="R202" s="208"/>
      <c r="S202" s="208"/>
      <c r="AF202" s="304" t="s">
        <v>15</v>
      </c>
      <c r="AG202" s="304"/>
      <c r="AH202" s="304"/>
      <c r="AI202" s="304"/>
      <c r="AJ202" s="304"/>
      <c r="AK202" s="304"/>
      <c r="AL202" s="304"/>
      <c r="AM202" s="304"/>
      <c r="AN202" s="27" t="s">
        <v>5</v>
      </c>
      <c r="AO202" s="208" t="str">
        <f>PROPER(L7)</f>
        <v xml:space="preserve"> </v>
      </c>
      <c r="AP202" s="208"/>
      <c r="AQ202" s="208"/>
      <c r="AR202" s="208"/>
      <c r="AS202" s="208"/>
      <c r="AT202" s="208"/>
      <c r="AU202" s="208"/>
      <c r="AV202" s="208"/>
      <c r="AW202" s="208"/>
      <c r="AX202" s="208"/>
      <c r="AY202" s="208"/>
      <c r="AZ202" s="208"/>
      <c r="BA202" s="208"/>
      <c r="BB202" s="208"/>
      <c r="BC202" s="208"/>
      <c r="BD202" s="208"/>
      <c r="BE202" s="208"/>
      <c r="BF202" s="208"/>
      <c r="BG202" s="208"/>
      <c r="BH202" s="208"/>
      <c r="BI202" s="208"/>
      <c r="BJ202" s="26"/>
    </row>
    <row r="203" spans="2:62" ht="6" customHeight="1" x14ac:dyDescent="0.25">
      <c r="B203" s="20"/>
      <c r="BJ203" s="26"/>
    </row>
    <row r="204" spans="2:62" ht="15" customHeight="1" x14ac:dyDescent="0.25">
      <c r="B204" s="20"/>
      <c r="X204" s="304" t="s">
        <v>6</v>
      </c>
      <c r="Y204" s="304"/>
      <c r="Z204" s="304"/>
      <c r="AA204" s="304"/>
      <c r="AB204" s="304"/>
      <c r="AC204" s="304"/>
      <c r="AD204" s="304"/>
      <c r="AE204" s="304"/>
      <c r="AF204" s="304"/>
      <c r="AG204" s="304"/>
      <c r="AH204" s="304"/>
      <c r="AI204" s="304"/>
      <c r="AJ204" s="304"/>
      <c r="BJ204" s="26"/>
    </row>
    <row r="205" spans="2:62" x14ac:dyDescent="0.25">
      <c r="B205" s="20"/>
      <c r="BJ205" s="26"/>
    </row>
    <row r="206" spans="2:62" ht="8.1" customHeight="1" x14ac:dyDescent="0.25">
      <c r="B206" s="20"/>
      <c r="AO206" s="133" t="s">
        <v>7</v>
      </c>
      <c r="AP206" s="133"/>
      <c r="AQ206" s="133"/>
      <c r="AR206" s="133"/>
      <c r="AS206" s="133"/>
      <c r="AT206" s="133"/>
      <c r="AU206" s="133"/>
      <c r="AV206" s="133"/>
      <c r="AW206" s="133"/>
      <c r="AX206" s="133"/>
      <c r="AY206" s="133"/>
      <c r="AZ206" s="133"/>
      <c r="BA206" s="133"/>
      <c r="BB206" s="133"/>
      <c r="BC206" s="133"/>
      <c r="BD206" s="133"/>
      <c r="BE206" s="133"/>
      <c r="BF206" s="133"/>
      <c r="BG206" s="133"/>
      <c r="BH206" s="133"/>
      <c r="BI206" s="133"/>
      <c r="BJ206" s="26"/>
    </row>
    <row r="207" spans="2:62" ht="10.5" customHeight="1" x14ac:dyDescent="0.25">
      <c r="B207" s="20"/>
      <c r="AO207" s="133"/>
      <c r="AP207" s="133"/>
      <c r="AQ207" s="133"/>
      <c r="AR207" s="133"/>
      <c r="AS207" s="133"/>
      <c r="AT207" s="133"/>
      <c r="AU207" s="133"/>
      <c r="AV207" s="133"/>
      <c r="AW207" s="133"/>
      <c r="AX207" s="133"/>
      <c r="AY207" s="133"/>
      <c r="AZ207" s="133"/>
      <c r="BA207" s="133"/>
      <c r="BB207" s="133"/>
      <c r="BC207" s="133"/>
      <c r="BD207" s="133"/>
      <c r="BE207" s="133"/>
      <c r="BF207" s="133"/>
      <c r="BG207" s="133"/>
      <c r="BH207" s="133"/>
      <c r="BI207" s="133"/>
      <c r="BJ207" s="26"/>
    </row>
    <row r="208" spans="2:62" ht="8.1" customHeight="1" x14ac:dyDescent="0.25">
      <c r="B208" s="20"/>
      <c r="AO208" s="198" t="str">
        <f>IF(ISBLANK('Basic Information'!M3),"",PROPER('Basic Information'!M3))</f>
        <v/>
      </c>
      <c r="AP208" s="198"/>
      <c r="AQ208" s="198"/>
      <c r="AR208" s="198"/>
      <c r="AS208" s="198"/>
      <c r="AT208" s="198"/>
      <c r="AU208" s="198"/>
      <c r="AV208" s="198"/>
      <c r="AW208" s="198"/>
      <c r="AX208" s="198"/>
      <c r="AY208" s="198"/>
      <c r="AZ208" s="198"/>
      <c r="BA208" s="198"/>
      <c r="BB208" s="198"/>
      <c r="BC208" s="198"/>
      <c r="BD208" s="198"/>
      <c r="BE208" s="198"/>
      <c r="BF208" s="198"/>
      <c r="BG208" s="198"/>
      <c r="BH208" s="198"/>
      <c r="BI208" s="198"/>
      <c r="BJ208" s="26"/>
    </row>
    <row r="209" spans="2:62" ht="25.5" customHeight="1" x14ac:dyDescent="0.25">
      <c r="B209" s="22"/>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c r="AA209" s="17"/>
      <c r="AB209" s="17"/>
      <c r="AC209" s="17"/>
      <c r="AD209" s="17"/>
      <c r="AE209" s="17"/>
      <c r="AF209" s="17"/>
      <c r="AG209" s="17"/>
      <c r="AH209" s="17"/>
      <c r="AI209" s="17"/>
      <c r="AJ209" s="17"/>
      <c r="AK209" s="17"/>
      <c r="AL209" s="17"/>
      <c r="AM209" s="17"/>
      <c r="AN209" s="17"/>
      <c r="AO209" s="199"/>
      <c r="AP209" s="199"/>
      <c r="AQ209" s="199"/>
      <c r="AR209" s="199"/>
      <c r="AS209" s="199"/>
      <c r="AT209" s="199"/>
      <c r="AU209" s="199"/>
      <c r="AV209" s="199"/>
      <c r="AW209" s="199"/>
      <c r="AX209" s="199"/>
      <c r="AY209" s="199"/>
      <c r="AZ209" s="199"/>
      <c r="BA209" s="199"/>
      <c r="BB209" s="199"/>
      <c r="BC209" s="199"/>
      <c r="BD209" s="199"/>
      <c r="BE209" s="199"/>
      <c r="BF209" s="199"/>
      <c r="BG209" s="199"/>
      <c r="BH209" s="199"/>
      <c r="BI209" s="199"/>
      <c r="BJ209" s="42"/>
    </row>
  </sheetData>
  <sheetProtection algorithmName="SHA-512" hashValue="O4OaAOcQQZfzanQbKvsgMLAPPTgWtoegIdYQWNNj0JKCyYHuikvgHTQ+GAuzpuCk02+rEuFJ6LikithdFeLBGA==" saltValue="3evXo4BJKWz04ZGxkiL0yA==" spinCount="100000" sheet="1" objects="1" scenarios="1" selectLockedCells="1"/>
  <mergeCells count="521">
    <mergeCell ref="AO206:BI207"/>
    <mergeCell ref="BP157:BW157"/>
    <mergeCell ref="BP134:BW135"/>
    <mergeCell ref="BP139:BW139"/>
    <mergeCell ref="BP143:BW143"/>
    <mergeCell ref="BP155:BW155"/>
    <mergeCell ref="BP160:BW162"/>
    <mergeCell ref="BP151:BW151"/>
    <mergeCell ref="BP153:BW153"/>
    <mergeCell ref="BP148:BW150"/>
    <mergeCell ref="BP147:BV147"/>
    <mergeCell ref="B190:BJ190"/>
    <mergeCell ref="C192:D192"/>
    <mergeCell ref="E192:Y192"/>
    <mergeCell ref="AZ192:BJ192"/>
    <mergeCell ref="Z192:AH192"/>
    <mergeCell ref="AI192:AY192"/>
    <mergeCell ref="AQ183:AX183"/>
    <mergeCell ref="AY183:BB183"/>
    <mergeCell ref="BC183:BJ183"/>
    <mergeCell ref="O183:V183"/>
    <mergeCell ref="C182:J182"/>
    <mergeCell ref="K182:N182"/>
    <mergeCell ref="W182:AD182"/>
    <mergeCell ref="BR6:BU7"/>
    <mergeCell ref="BQ8:BU9"/>
    <mergeCell ref="BQ10:BV11"/>
    <mergeCell ref="BR14:BV14"/>
    <mergeCell ref="BR15:BV15"/>
    <mergeCell ref="BR16:BV16"/>
    <mergeCell ref="BQ18:BV21"/>
    <mergeCell ref="BQ12:BV13"/>
    <mergeCell ref="BP145:BV145"/>
    <mergeCell ref="BP117:BW117"/>
    <mergeCell ref="BL103:BV105"/>
    <mergeCell ref="BP118:BX120"/>
    <mergeCell ref="BP126:BX128"/>
    <mergeCell ref="BP141:BW141"/>
    <mergeCell ref="BP78:BW83"/>
    <mergeCell ref="BP43:BV47"/>
    <mergeCell ref="BL110:BV112"/>
    <mergeCell ref="BL108:BV109"/>
    <mergeCell ref="BP132:BW133"/>
    <mergeCell ref="BP129:BY131"/>
    <mergeCell ref="B1:BJ1"/>
    <mergeCell ref="B2:BJ2"/>
    <mergeCell ref="B3:BJ3"/>
    <mergeCell ref="X204:AJ204"/>
    <mergeCell ref="C193:BI193"/>
    <mergeCell ref="C194:BI194"/>
    <mergeCell ref="B200:F200"/>
    <mergeCell ref="B202:F202"/>
    <mergeCell ref="H202:S202"/>
    <mergeCell ref="AF202:AM202"/>
    <mergeCell ref="AF200:AM200"/>
    <mergeCell ref="AO200:BI200"/>
    <mergeCell ref="AO202:BI202"/>
    <mergeCell ref="C195:X195"/>
    <mergeCell ref="Y195:AG195"/>
    <mergeCell ref="AF198:AM198"/>
    <mergeCell ref="C185:J185"/>
    <mergeCell ref="K185:N185"/>
    <mergeCell ref="W185:AD185"/>
    <mergeCell ref="AE185:AH185"/>
    <mergeCell ref="AI185:AP185"/>
    <mergeCell ref="BC185:BJ185"/>
    <mergeCell ref="O185:V185"/>
    <mergeCell ref="AQ185:BB185"/>
    <mergeCell ref="C184:J184"/>
    <mergeCell ref="K184:N184"/>
    <mergeCell ref="W184:AD184"/>
    <mergeCell ref="AE184:AH184"/>
    <mergeCell ref="AI184:AP184"/>
    <mergeCell ref="BC184:BJ184"/>
    <mergeCell ref="O184:V184"/>
    <mergeCell ref="AQ184:BB184"/>
    <mergeCell ref="B188:AT188"/>
    <mergeCell ref="AV188:BJ188"/>
    <mergeCell ref="C186:J186"/>
    <mergeCell ref="K186:N186"/>
    <mergeCell ref="W186:AD186"/>
    <mergeCell ref="AE186:AH186"/>
    <mergeCell ref="AI186:AP186"/>
    <mergeCell ref="BC186:BJ186"/>
    <mergeCell ref="O186:V186"/>
    <mergeCell ref="AQ186:BB186"/>
    <mergeCell ref="AE182:AH182"/>
    <mergeCell ref="AI182:AP182"/>
    <mergeCell ref="AQ182:AX182"/>
    <mergeCell ref="AY182:BB182"/>
    <mergeCell ref="BC182:BJ182"/>
    <mergeCell ref="O182:V182"/>
    <mergeCell ref="C183:J183"/>
    <mergeCell ref="K183:N183"/>
    <mergeCell ref="W183:AD183"/>
    <mergeCell ref="AE183:AH183"/>
    <mergeCell ref="AI183:AP183"/>
    <mergeCell ref="C181:N181"/>
    <mergeCell ref="W181:AH181"/>
    <mergeCell ref="AT157:AU157"/>
    <mergeCell ref="AV165:BJ165"/>
    <mergeCell ref="AV167:BJ167"/>
    <mergeCell ref="AV169:BJ169"/>
    <mergeCell ref="AV171:BJ171"/>
    <mergeCell ref="C165:AT165"/>
    <mergeCell ref="C167:AT167"/>
    <mergeCell ref="C169:AT169"/>
    <mergeCell ref="C171:AT171"/>
    <mergeCell ref="B163:BJ163"/>
    <mergeCell ref="C159:AH159"/>
    <mergeCell ref="AJ159:AS159"/>
    <mergeCell ref="AT159:AU159"/>
    <mergeCell ref="AV159:BJ159"/>
    <mergeCell ref="AV173:BJ173"/>
    <mergeCell ref="AV175:BJ175"/>
    <mergeCell ref="AT149:AU149"/>
    <mergeCell ref="AQ181:BB181"/>
    <mergeCell ref="C173:AT173"/>
    <mergeCell ref="C175:AT175"/>
    <mergeCell ref="B177:AT177"/>
    <mergeCell ref="B179:BJ179"/>
    <mergeCell ref="AB151:AH151"/>
    <mergeCell ref="AB153:AH153"/>
    <mergeCell ref="AJ153:AS153"/>
    <mergeCell ref="AT153:AU153"/>
    <mergeCell ref="AV153:BJ153"/>
    <mergeCell ref="AJ151:AS151"/>
    <mergeCell ref="AT151:AU151"/>
    <mergeCell ref="AV151:BJ151"/>
    <mergeCell ref="AJ157:AS157"/>
    <mergeCell ref="AT155:AU155"/>
    <mergeCell ref="AV177:BJ177"/>
    <mergeCell ref="O181:V181"/>
    <mergeCell ref="AI181:AP181"/>
    <mergeCell ref="BC181:BJ181"/>
    <mergeCell ref="C153:V153"/>
    <mergeCell ref="C157:X157"/>
    <mergeCell ref="Y157:AH157"/>
    <mergeCell ref="AV157:BJ157"/>
    <mergeCell ref="AT131:AU131"/>
    <mergeCell ref="Q125:Y125"/>
    <mergeCell ref="E117:P117"/>
    <mergeCell ref="Z117:AH117"/>
    <mergeCell ref="AT117:AU117"/>
    <mergeCell ref="Q117:Y117"/>
    <mergeCell ref="AH123:BJ123"/>
    <mergeCell ref="AJ127:AS127"/>
    <mergeCell ref="AV127:BJ127"/>
    <mergeCell ref="AJ129:AS129"/>
    <mergeCell ref="Q129:Y129"/>
    <mergeCell ref="E127:AH127"/>
    <mergeCell ref="Z129:AH129"/>
    <mergeCell ref="E125:P125"/>
    <mergeCell ref="Z125:AH125"/>
    <mergeCell ref="AT125:AU125"/>
    <mergeCell ref="AT127:AU127"/>
    <mergeCell ref="AT129:AU129"/>
    <mergeCell ref="AJ125:AS125"/>
    <mergeCell ref="E129:P129"/>
    <mergeCell ref="C70:AT70"/>
    <mergeCell ref="N34:U34"/>
    <mergeCell ref="C72:AT72"/>
    <mergeCell ref="B32:U32"/>
    <mergeCell ref="B19:G19"/>
    <mergeCell ref="H19:J19"/>
    <mergeCell ref="Q19:V19"/>
    <mergeCell ref="Q20:V20"/>
    <mergeCell ref="AJ22:AO22"/>
    <mergeCell ref="AJ23:AO23"/>
    <mergeCell ref="AJ24:AO24"/>
    <mergeCell ref="AH30:AY30"/>
    <mergeCell ref="C42:AJ42"/>
    <mergeCell ref="AV66:BJ66"/>
    <mergeCell ref="W22:AB22"/>
    <mergeCell ref="W23:AB23"/>
    <mergeCell ref="AF28:AG28"/>
    <mergeCell ref="C26:T26"/>
    <mergeCell ref="V26:AE26"/>
    <mergeCell ref="AF26:AG26"/>
    <mergeCell ref="AH26:AY26"/>
    <mergeCell ref="H21:J21"/>
    <mergeCell ref="B48:AT48"/>
    <mergeCell ref="AJ58:AQ58"/>
    <mergeCell ref="AV46:BJ46"/>
    <mergeCell ref="B46:AT46"/>
    <mergeCell ref="B23:G23"/>
    <mergeCell ref="H23:J23"/>
    <mergeCell ref="B21:G21"/>
    <mergeCell ref="C50:AT50"/>
    <mergeCell ref="C52:AT52"/>
    <mergeCell ref="BE12:BJ12"/>
    <mergeCell ref="B13:G13"/>
    <mergeCell ref="H13:J13"/>
    <mergeCell ref="Q16:V16"/>
    <mergeCell ref="Q17:V17"/>
    <mergeCell ref="AP13:AT13"/>
    <mergeCell ref="AU13:AY13"/>
    <mergeCell ref="AZ13:BD13"/>
    <mergeCell ref="BE13:BJ13"/>
    <mergeCell ref="AP14:AT14"/>
    <mergeCell ref="AU14:AY14"/>
    <mergeCell ref="AZ14:BD14"/>
    <mergeCell ref="BE14:BJ14"/>
    <mergeCell ref="AP15:AT15"/>
    <mergeCell ref="AU15:AY15"/>
    <mergeCell ref="AZ15:BD15"/>
    <mergeCell ref="B22:G22"/>
    <mergeCell ref="H22:J22"/>
    <mergeCell ref="B38:BJ38"/>
    <mergeCell ref="B36:AT36"/>
    <mergeCell ref="AV36:BJ36"/>
    <mergeCell ref="AQ34:BA34"/>
    <mergeCell ref="BC34:BJ34"/>
    <mergeCell ref="C34:L34"/>
    <mergeCell ref="W34:AF34"/>
    <mergeCell ref="AH34:AO34"/>
    <mergeCell ref="C30:T30"/>
    <mergeCell ref="V30:AE30"/>
    <mergeCell ref="Q24:V24"/>
    <mergeCell ref="W24:AB24"/>
    <mergeCell ref="AC21:AI21"/>
    <mergeCell ref="AC22:AI22"/>
    <mergeCell ref="AC23:AI23"/>
    <mergeCell ref="AC24:AI24"/>
    <mergeCell ref="K13:P13"/>
    <mergeCell ref="K14:P14"/>
    <mergeCell ref="Q11:V11"/>
    <mergeCell ref="Q14:V14"/>
    <mergeCell ref="B15:G15"/>
    <mergeCell ref="H15:J15"/>
    <mergeCell ref="Q13:V13"/>
    <mergeCell ref="B18:G18"/>
    <mergeCell ref="H18:J18"/>
    <mergeCell ref="B17:G17"/>
    <mergeCell ref="H17:J17"/>
    <mergeCell ref="B16:G16"/>
    <mergeCell ref="B14:G14"/>
    <mergeCell ref="H14:J14"/>
    <mergeCell ref="H16:J16"/>
    <mergeCell ref="W15:AB15"/>
    <mergeCell ref="W16:AB16"/>
    <mergeCell ref="W17:AB17"/>
    <mergeCell ref="W20:AB20"/>
    <mergeCell ref="W21:AB21"/>
    <mergeCell ref="AN5:BE5"/>
    <mergeCell ref="AG5:AL5"/>
    <mergeCell ref="B5:J5"/>
    <mergeCell ref="B7:J7"/>
    <mergeCell ref="L5:AE5"/>
    <mergeCell ref="L7:AE7"/>
    <mergeCell ref="H12:J12"/>
    <mergeCell ref="B11:J11"/>
    <mergeCell ref="B12:G12"/>
    <mergeCell ref="AP11:AT11"/>
    <mergeCell ref="AU11:AY11"/>
    <mergeCell ref="AZ11:BD11"/>
    <mergeCell ref="BE11:BJ11"/>
    <mergeCell ref="AP12:AT12"/>
    <mergeCell ref="AU12:AY12"/>
    <mergeCell ref="AZ12:BD12"/>
    <mergeCell ref="Q12:V12"/>
    <mergeCell ref="AJ11:AO11"/>
    <mergeCell ref="AJ12:AO12"/>
    <mergeCell ref="AC11:AI11"/>
    <mergeCell ref="AC12:AI12"/>
    <mergeCell ref="B9:U9"/>
    <mergeCell ref="K11:P11"/>
    <mergeCell ref="K12:P12"/>
    <mergeCell ref="AV52:BJ52"/>
    <mergeCell ref="B54:AT54"/>
    <mergeCell ref="AV50:BJ50"/>
    <mergeCell ref="AV40:BJ40"/>
    <mergeCell ref="AV42:BJ42"/>
    <mergeCell ref="AV44:BJ44"/>
    <mergeCell ref="BA30:BJ30"/>
    <mergeCell ref="AP18:AT18"/>
    <mergeCell ref="B20:G20"/>
    <mergeCell ref="H20:J20"/>
    <mergeCell ref="BA26:BJ26"/>
    <mergeCell ref="BA28:BJ28"/>
    <mergeCell ref="K24:P24"/>
    <mergeCell ref="AP23:AT23"/>
    <mergeCell ref="AU23:AY23"/>
    <mergeCell ref="AZ23:BD23"/>
    <mergeCell ref="BE23:BJ23"/>
    <mergeCell ref="AP24:AT24"/>
    <mergeCell ref="AJ18:AO18"/>
    <mergeCell ref="AJ19:AO19"/>
    <mergeCell ref="AJ20:AO20"/>
    <mergeCell ref="AJ21:AO21"/>
    <mergeCell ref="W18:AB18"/>
    <mergeCell ref="W19:AB19"/>
    <mergeCell ref="AV68:BJ68"/>
    <mergeCell ref="C66:AT66"/>
    <mergeCell ref="C68:AT68"/>
    <mergeCell ref="AV54:BJ54"/>
    <mergeCell ref="C58:AI58"/>
    <mergeCell ref="C60:AT60"/>
    <mergeCell ref="B64:AT64"/>
    <mergeCell ref="B56:AT56"/>
    <mergeCell ref="AV60:BJ60"/>
    <mergeCell ref="C62:AT62"/>
    <mergeCell ref="AV62:BJ62"/>
    <mergeCell ref="BQ4:BU5"/>
    <mergeCell ref="K21:P21"/>
    <mergeCell ref="K22:P22"/>
    <mergeCell ref="K23:P23"/>
    <mergeCell ref="K15:P15"/>
    <mergeCell ref="K16:P16"/>
    <mergeCell ref="K17:P17"/>
    <mergeCell ref="K18:P18"/>
    <mergeCell ref="K19:P19"/>
    <mergeCell ref="K20:P20"/>
    <mergeCell ref="AC16:AI16"/>
    <mergeCell ref="AC17:AI17"/>
    <mergeCell ref="AC18:AI18"/>
    <mergeCell ref="AC19:AI19"/>
    <mergeCell ref="AC20:AI20"/>
    <mergeCell ref="Q15:V15"/>
    <mergeCell ref="Q18:V18"/>
    <mergeCell ref="Q21:V21"/>
    <mergeCell ref="Q22:V22"/>
    <mergeCell ref="Q23:V23"/>
    <mergeCell ref="W11:AB11"/>
    <mergeCell ref="W12:AB12"/>
    <mergeCell ref="W13:AB13"/>
    <mergeCell ref="W14:AB14"/>
    <mergeCell ref="AJ99:AS99"/>
    <mergeCell ref="BQ2:BU3"/>
    <mergeCell ref="B161:AT161"/>
    <mergeCell ref="C149:AH149"/>
    <mergeCell ref="AJ149:AS149"/>
    <mergeCell ref="AV149:BJ149"/>
    <mergeCell ref="C155:AH155"/>
    <mergeCell ref="AJ155:AS155"/>
    <mergeCell ref="AV155:BJ155"/>
    <mergeCell ref="AV125:BJ125"/>
    <mergeCell ref="E119:AH119"/>
    <mergeCell ref="AT119:AU119"/>
    <mergeCell ref="D121:BJ121"/>
    <mergeCell ref="E123:AB123"/>
    <mergeCell ref="AC123:AG123"/>
    <mergeCell ref="AJ109:AS109"/>
    <mergeCell ref="AV161:BJ161"/>
    <mergeCell ref="AK42:AT42"/>
    <mergeCell ref="C40:AJ40"/>
    <mergeCell ref="AK40:AT40"/>
    <mergeCell ref="AH28:AY28"/>
    <mergeCell ref="B24:J24"/>
    <mergeCell ref="C28:T28"/>
    <mergeCell ref="V28:AE28"/>
    <mergeCell ref="AV145:BJ145"/>
    <mergeCell ref="AT93:AU93"/>
    <mergeCell ref="AV93:BJ93"/>
    <mergeCell ref="AJ87:AS87"/>
    <mergeCell ref="AJ93:AS93"/>
    <mergeCell ref="AT95:AU95"/>
    <mergeCell ref="AJ89:AS89"/>
    <mergeCell ref="AV89:BJ89"/>
    <mergeCell ref="AJ101:AS101"/>
    <mergeCell ref="AV137:BJ137"/>
    <mergeCell ref="AV105:BJ105"/>
    <mergeCell ref="AJ133:AS133"/>
    <mergeCell ref="AV133:BJ133"/>
    <mergeCell ref="AT101:AU101"/>
    <mergeCell ref="AT103:AU103"/>
    <mergeCell ref="AT105:AU105"/>
    <mergeCell ref="AJ97:AS97"/>
    <mergeCell ref="C113:BJ113"/>
    <mergeCell ref="D115:BJ115"/>
    <mergeCell ref="AV117:BJ117"/>
    <mergeCell ref="C131:AH131"/>
    <mergeCell ref="AV129:BJ129"/>
    <mergeCell ref="AJ131:AS131"/>
    <mergeCell ref="AV131:BJ131"/>
    <mergeCell ref="C141:AH141"/>
    <mergeCell ref="C139:AH139"/>
    <mergeCell ref="AJ141:AS141"/>
    <mergeCell ref="AT143:AU143"/>
    <mergeCell ref="AT141:AU141"/>
    <mergeCell ref="C147:M147"/>
    <mergeCell ref="N147:V147"/>
    <mergeCell ref="C145:M145"/>
    <mergeCell ref="N145:V145"/>
    <mergeCell ref="C143:AH143"/>
    <mergeCell ref="AT147:AU147"/>
    <mergeCell ref="AO208:BI209"/>
    <mergeCell ref="AV119:BJ119"/>
    <mergeCell ref="C89:AH89"/>
    <mergeCell ref="C91:AH91"/>
    <mergeCell ref="C93:AH93"/>
    <mergeCell ref="C95:AH95"/>
    <mergeCell ref="C97:AH97"/>
    <mergeCell ref="C99:AH99"/>
    <mergeCell ref="C101:AH101"/>
    <mergeCell ref="AJ105:AS105"/>
    <mergeCell ref="C103:AH103"/>
    <mergeCell ref="AJ91:AS91"/>
    <mergeCell ref="C105:AH105"/>
    <mergeCell ref="AV109:BJ109"/>
    <mergeCell ref="AJ119:AS119"/>
    <mergeCell ref="W153:AA153"/>
    <mergeCell ref="Y133:AH133"/>
    <mergeCell ref="AT145:AU145"/>
    <mergeCell ref="C133:X133"/>
    <mergeCell ref="AT97:AU97"/>
    <mergeCell ref="AT99:AU99"/>
    <mergeCell ref="AV147:BJ147"/>
    <mergeCell ref="W147:AA147"/>
    <mergeCell ref="H200:X200"/>
    <mergeCell ref="AV83:BJ83"/>
    <mergeCell ref="AV85:BJ85"/>
    <mergeCell ref="AJ83:AS83"/>
    <mergeCell ref="AJ85:AS85"/>
    <mergeCell ref="AV70:BJ70"/>
    <mergeCell ref="AV72:BJ72"/>
    <mergeCell ref="AV74:BJ74"/>
    <mergeCell ref="B74:AT74"/>
    <mergeCell ref="C87:AH87"/>
    <mergeCell ref="AT83:AU83"/>
    <mergeCell ref="AT85:AU85"/>
    <mergeCell ref="AV77:BJ77"/>
    <mergeCell ref="AT87:AU87"/>
    <mergeCell ref="C81:AH81"/>
    <mergeCell ref="AT79:AU79"/>
    <mergeCell ref="AT81:AU81"/>
    <mergeCell ref="AV79:BJ79"/>
    <mergeCell ref="C79:AH79"/>
    <mergeCell ref="AV81:BJ81"/>
    <mergeCell ref="AJ79:AS79"/>
    <mergeCell ref="C83:AH83"/>
    <mergeCell ref="B77:AI77"/>
    <mergeCell ref="AT77:AU77"/>
    <mergeCell ref="C85:AH85"/>
    <mergeCell ref="AJ95:AS95"/>
    <mergeCell ref="AV95:BJ95"/>
    <mergeCell ref="AT89:AU89"/>
    <mergeCell ref="AT91:AU91"/>
    <mergeCell ref="AV91:BJ91"/>
    <mergeCell ref="C44:AJ44"/>
    <mergeCell ref="AK44:AT44"/>
    <mergeCell ref="AJ135:AS135"/>
    <mergeCell ref="AJ137:AS137"/>
    <mergeCell ref="Y135:AH135"/>
    <mergeCell ref="C135:X135"/>
    <mergeCell ref="C107:AH107"/>
    <mergeCell ref="AV107:BJ107"/>
    <mergeCell ref="AJ111:AS111"/>
    <mergeCell ref="AT111:AU111"/>
    <mergeCell ref="AJ107:AS107"/>
    <mergeCell ref="AJ81:AS81"/>
    <mergeCell ref="AJ77:AS77"/>
    <mergeCell ref="C109:AH109"/>
    <mergeCell ref="AT109:AU109"/>
    <mergeCell ref="C111:AH111"/>
    <mergeCell ref="AV111:BJ111"/>
    <mergeCell ref="AV99:BJ99"/>
    <mergeCell ref="AV87:BJ87"/>
    <mergeCell ref="W151:AA151"/>
    <mergeCell ref="C151:V151"/>
    <mergeCell ref="W145:AA145"/>
    <mergeCell ref="AJ139:AS139"/>
    <mergeCell ref="AV139:BJ139"/>
    <mergeCell ref="AV141:BJ141"/>
    <mergeCell ref="AV135:BJ135"/>
    <mergeCell ref="AV97:BJ97"/>
    <mergeCell ref="AV101:BJ101"/>
    <mergeCell ref="AJ103:AS103"/>
    <mergeCell ref="AV103:BJ103"/>
    <mergeCell ref="AT107:AU107"/>
    <mergeCell ref="AJ117:AS117"/>
    <mergeCell ref="AB145:AH145"/>
    <mergeCell ref="AV143:BJ143"/>
    <mergeCell ref="AJ143:AS143"/>
    <mergeCell ref="AT133:AU133"/>
    <mergeCell ref="AB147:AH147"/>
    <mergeCell ref="AJ147:AS147"/>
    <mergeCell ref="AJ145:AS145"/>
    <mergeCell ref="C137:AH137"/>
    <mergeCell ref="AT135:AU135"/>
    <mergeCell ref="AT137:AU137"/>
    <mergeCell ref="AT139:AU139"/>
    <mergeCell ref="AC13:AI13"/>
    <mergeCell ref="AC14:AI14"/>
    <mergeCell ref="AC15:AI15"/>
    <mergeCell ref="BE15:BJ15"/>
    <mergeCell ref="AP16:AT16"/>
    <mergeCell ref="AU16:AY16"/>
    <mergeCell ref="AZ16:BD16"/>
    <mergeCell ref="BE16:BJ16"/>
    <mergeCell ref="AP17:AT17"/>
    <mergeCell ref="AU17:AY17"/>
    <mergeCell ref="AZ17:BD17"/>
    <mergeCell ref="BE17:BJ17"/>
    <mergeCell ref="AJ13:AO13"/>
    <mergeCell ref="AJ14:AO14"/>
    <mergeCell ref="AJ15:AO15"/>
    <mergeCell ref="AJ16:AO16"/>
    <mergeCell ref="AJ17:AO17"/>
    <mergeCell ref="AU18:AY18"/>
    <mergeCell ref="AZ18:BD18"/>
    <mergeCell ref="BE18:BJ18"/>
    <mergeCell ref="AP19:AT19"/>
    <mergeCell ref="AU19:AY19"/>
    <mergeCell ref="AZ19:BD19"/>
    <mergeCell ref="BE19:BJ19"/>
    <mergeCell ref="AU24:AY24"/>
    <mergeCell ref="AZ24:BD24"/>
    <mergeCell ref="BE24:BJ24"/>
    <mergeCell ref="AP20:AT20"/>
    <mergeCell ref="AU20:AY20"/>
    <mergeCell ref="AZ20:BD20"/>
    <mergeCell ref="BE20:BJ20"/>
    <mergeCell ref="AP21:AT21"/>
    <mergeCell ref="AU21:AY21"/>
    <mergeCell ref="AZ21:BD21"/>
    <mergeCell ref="BE21:BJ21"/>
    <mergeCell ref="AP22:AT22"/>
    <mergeCell ref="AU22:AY22"/>
    <mergeCell ref="AZ22:BD22"/>
    <mergeCell ref="BE22:BJ22"/>
  </mergeCells>
  <dataValidations xWindow="592" yWindow="583" count="19">
    <dataValidation type="list" allowBlank="1" showInputMessage="1" showErrorMessage="1" errorTitle="Please select an option" error="Please select an option" promptTitle="Please select an option" prompt="Please select an option" sqref="AJ58" xr:uid="{00000000-0002-0000-0000-000000000000}">
      <formula1>"Select, Yes, No"</formula1>
    </dataValidation>
    <dataValidation type="list" allowBlank="1" showInputMessage="1" showErrorMessage="1" errorTitle="Payment Mode" error="Please Select Payment Mode" promptTitle="Payment Mode" prompt="Please Select Payment Mode" sqref="Z117:AG117 Z129:AG129 Z125:AG125 AB151 AB153 AB147 AB145" xr:uid="{00000000-0002-0000-0000-000001000000}">
      <formula1>"Select, Cash, Other than Cash"</formula1>
    </dataValidation>
    <dataValidation type="list" allowBlank="1" showInputMessage="1" showErrorMessage="1" errorTitle="Senior Citizen" error="Please select an option" promptTitle="Senior citizen" prompt="Please select the option" sqref="AN122:AS122 AC123" xr:uid="{00000000-0002-0000-0000-000002000000}">
      <formula1>"Select, Yes, No"</formula1>
    </dataValidation>
    <dataValidation type="list" allowBlank="1" showInputMessage="1" showErrorMessage="1" sqref="Y133:AH133" xr:uid="{00000000-0002-0000-0000-000003000000}">
      <formula1>"Select, Dependent Person with Disability, Dependent Person with Severe Disability"</formula1>
    </dataValidation>
    <dataValidation type="list" allowBlank="1" showInputMessage="1" showErrorMessage="1" sqref="Y135:AH135" xr:uid="{00000000-0002-0000-0000-000004000000}">
      <formula1>"Select, Self or Dependent, Self or Dependent - Senior Citizen"</formula1>
    </dataValidation>
    <dataValidation type="whole" operator="greaterThan" allowBlank="1" showInputMessage="1" showErrorMessage="1" errorTitle="Home Loan" error="Please enter a valid amount." promptTitle="Home Loan Interest Amount" prompt="Please enter the home loan interest amount." sqref="AV60:BJ60" xr:uid="{E0F3F647-6FE6-4AD6-AE71-B4EC7CE14CF4}">
      <formula1>0</formula1>
    </dataValidation>
    <dataValidation type="whole" operator="greaterThan" allowBlank="1" showInputMessage="1" showErrorMessage="1" errorTitle="Interest from Saving Account" error="Please enter a valid amount." promptTitle="Interest from Saving Account" prompt="Please enter the interest received from saving account." sqref="AV66:BJ66" xr:uid="{120DBCE4-8115-4006-B8F0-91F6CBFBD37D}">
      <formula1>0</formula1>
    </dataValidation>
    <dataValidation type="whole" operator="greaterThan" allowBlank="1" showInputMessage="1" showErrorMessage="1" errorTitle="Interest from Deposit" error="Please enter a valid amount." promptTitle="Interest from Deposit" prompt="Please enter the interest received from the deposit." sqref="AV68:BJ68" xr:uid="{403C0BBA-852A-4B98-86D9-1937B1DEC967}">
      <formula1>0</formula1>
    </dataValidation>
    <dataValidation type="whole" operator="greaterThan" allowBlank="1" showInputMessage="1" showErrorMessage="1" errorTitle="Interest from Income Tax Refund" error="Please enter a valid amount." promptTitle="Interest from Income Tax Refund" prompt="Please enter the interest received from the income tax refund." sqref="AV70:BJ70" xr:uid="{A38755AC-4B22-47DF-B4DC-2EDCA208D067}">
      <formula1>0</formula1>
    </dataValidation>
    <dataValidation type="whole" operator="greaterThan" allowBlank="1" showInputMessage="1" showErrorMessage="1" errorTitle="Any other" error="Please enter a valid amount." sqref="AV72:BJ72" xr:uid="{3E83015B-68A6-431B-92BE-C8E3BE93E978}">
      <formula1>0</formula1>
    </dataValidation>
    <dataValidation type="whole" operator="greaterThan" allowBlank="1" showInputMessage="1" showErrorMessage="1" error="Please enter a valid amount." sqref="AJ150:AS150 AJ152:AS152" xr:uid="{220967A8-662C-4B83-BE81-54186CE37462}">
      <formula1>1</formula1>
    </dataValidation>
    <dataValidation type="whole" operator="greaterThan" allowBlank="1" showInputMessage="1" showErrorMessage="1" error="Please enter a valid amount" sqref="AK42:AT42 BC34:BJ34 AK44:AT44 AK40:AT40 AJ109:AS109 V26:AE26 V28:AE30 N34:U34 AH34:AO34 BA30:BJ30" xr:uid="{5731C682-A94C-4C27-927B-F238555019B8}">
      <formula1>0</formula1>
    </dataValidation>
    <dataValidation type="whole" operator="greaterThanOrEqual" allowBlank="1" showInputMessage="1" showErrorMessage="1" errorTitle="TDS" error="Please enter a valid amount." promptTitle="TDS" prompt="Please enter the TDS amount." sqref="BC184:BJ185 BC182:BJ182 O182:V186 AI182:AP186" xr:uid="{22EDF32F-C619-42D9-815F-4F67FFE9F1EA}">
      <formula1>0</formula1>
    </dataValidation>
    <dataValidation type="list" allowBlank="1" showInputMessage="1" showErrorMessage="1" sqref="Y158:AH158" xr:uid="{AA47907F-DA7D-4B45-8173-7B07CC5200B7}">
      <formula1>"Select, Person with Disability, Person with Severe Disability"</formula1>
    </dataValidation>
    <dataValidation type="list" showInputMessage="1" showErrorMessage="1" sqref="AQ184:BB185" xr:uid="{824D0EDE-9778-4073-BF24-7F7A46342B71}">
      <formula1>"',Tax on Salary Arrears, Any other TDS"</formula1>
    </dataValidation>
    <dataValidation type="list" allowBlank="1" showInputMessage="1" showErrorMessage="1" sqref="N145:V145 N147:V147" xr:uid="{1FFC950C-337D-4210-AF63-B70151DCCC33}">
      <formula1>"Select Donation Type, 100% deduction without limit,50% deduction without limit, 100% deduction with limit,50% deduction with limit"</formula1>
    </dataValidation>
    <dataValidation type="list" allowBlank="1" showInputMessage="1" showErrorMessage="1" sqref="Y157:AH157" xr:uid="{C2607C6D-99BA-47D9-98FC-0EF79A2E2789}">
      <formula1>"Select, Self with Disability, Self with Severe Disability"</formula1>
    </dataValidation>
    <dataValidation type="whole" operator="greaterThan" allowBlank="1" showInputMessage="1" showErrorMessage="1" errorTitle="Earned Leave Surrender" error="Please enter a valid amount." promptTitle="Earned Leave Surrender" prompt="Please enter the Earned Leave Surrender amount." sqref="N26:T26" xr:uid="{A0E5A8EF-7A9D-47F0-9B1A-2639E9161DE5}">
      <formula1>1</formula1>
    </dataValidation>
    <dataValidation type="whole" operator="greaterThan" allowBlank="1" showInputMessage="1" showErrorMessage="1" error="Please enter a valid amount." sqref="AJ91:AS91 AJ93:AS93 AJ95:AS95 AJ97:AS97 AJ99:AS99 AJ101:AS101 AJ105:AS105 AJ117:AS117 AJ119:AS119 AJ125:AS125 AJ127:AS127 AJ129:AS129 AJ133:AS133 AJ135:AS135 AJ137:AS137 AJ139:AS139 AJ141:AS141 AJ143:AS143 AJ145:AS145 AJ147:AS147 AJ149:AS149 AJ151:AS151 AJ153:AS153" xr:uid="{99E2F5A3-1032-408B-8954-75E181D16729}">
      <formula1>0</formula1>
    </dataValidation>
  </dataValidations>
  <pageMargins left="0.39370078740157483" right="0" top="0.23622047244094491" bottom="0.23622047244094491" header="0" footer="0"/>
  <pageSetup paperSize="9" orientation="portrait" blackAndWhite="1" errors="blank" r:id="rId1"/>
  <headerFooter>
    <oddFooter>&amp;CPage &amp;P of &amp;N</oddFooter>
  </headerFooter>
  <ignoredErrors>
    <ignoredError sqref="I22:J22" numberStoredAsText="1"/>
    <ignoredError sqref="BR52"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ABF7F-F67D-46DD-8E97-8B3EDE4BDC15}">
  <dimension ref="B2:BA104"/>
  <sheetViews>
    <sheetView showGridLines="0" showRowColHeaders="0" workbookViewId="0">
      <selection activeCell="U13" sqref="U13:AN13"/>
    </sheetView>
  </sheetViews>
  <sheetFormatPr defaultColWidth="9.109375" defaultRowHeight="14.4" x14ac:dyDescent="0.3"/>
  <cols>
    <col min="1" max="1" width="5" customWidth="1"/>
    <col min="2" max="42" width="2.109375" customWidth="1"/>
    <col min="47" max="47" width="9.6640625" customWidth="1"/>
  </cols>
  <sheetData>
    <row r="2" spans="2:50" ht="17.399999999999999" x14ac:dyDescent="0.3">
      <c r="B2" s="479" t="s">
        <v>77</v>
      </c>
      <c r="C2" s="479"/>
      <c r="D2" s="479"/>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c r="AL2" s="479"/>
      <c r="AM2" s="479"/>
      <c r="AN2" s="479"/>
      <c r="AO2" s="60"/>
      <c r="AP2" s="60"/>
      <c r="AR2" s="215" t="s">
        <v>204</v>
      </c>
      <c r="AS2" s="215"/>
      <c r="AT2" s="215"/>
      <c r="AU2" s="215"/>
      <c r="AV2" s="215"/>
      <c r="AW2" s="215"/>
    </row>
    <row r="3" spans="2:50" ht="15" customHeight="1" x14ac:dyDescent="0.3">
      <c r="B3" s="480" t="s">
        <v>39</v>
      </c>
      <c r="C3" s="374"/>
      <c r="D3" s="374"/>
      <c r="E3" s="374"/>
      <c r="F3" s="374"/>
      <c r="G3" s="374"/>
      <c r="H3" s="374"/>
      <c r="I3" s="374"/>
      <c r="J3" s="374"/>
      <c r="K3" s="374"/>
      <c r="L3" s="374"/>
      <c r="M3" s="374"/>
      <c r="N3" s="374"/>
      <c r="O3" s="374"/>
      <c r="P3" s="374"/>
      <c r="Q3" s="374"/>
      <c r="R3" s="374"/>
      <c r="S3" s="374"/>
      <c r="T3" s="374"/>
      <c r="U3" s="374"/>
      <c r="V3" s="374"/>
      <c r="W3" s="374"/>
      <c r="X3" s="374"/>
      <c r="Y3" s="374"/>
      <c r="Z3" s="374"/>
      <c r="AA3" s="374"/>
      <c r="AB3" s="374"/>
      <c r="AC3" s="374"/>
      <c r="AD3" s="374"/>
      <c r="AE3" s="374"/>
      <c r="AF3" s="374"/>
      <c r="AG3" s="374"/>
      <c r="AH3" s="374"/>
      <c r="AI3" s="374"/>
      <c r="AJ3" s="374"/>
      <c r="AK3" s="374"/>
      <c r="AL3" s="374"/>
      <c r="AM3" s="374"/>
      <c r="AN3" s="374"/>
      <c r="AO3" s="62"/>
      <c r="AP3" s="62"/>
      <c r="AR3" s="215"/>
      <c r="AS3" s="215"/>
      <c r="AT3" s="215"/>
      <c r="AU3" s="215"/>
      <c r="AV3" s="215"/>
      <c r="AW3" s="215"/>
    </row>
    <row r="4" spans="2:50" ht="15" customHeight="1" x14ac:dyDescent="0.3">
      <c r="B4" s="61"/>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R4" s="116"/>
      <c r="AS4" s="116"/>
      <c r="AT4" s="116"/>
      <c r="AU4" s="116"/>
      <c r="AV4" s="116"/>
      <c r="AW4" s="116"/>
    </row>
    <row r="5" spans="2:50" ht="15" customHeight="1" x14ac:dyDescent="0.3">
      <c r="B5" s="480" t="s">
        <v>40</v>
      </c>
      <c r="C5" s="480"/>
      <c r="D5" s="480"/>
      <c r="E5" s="480"/>
      <c r="F5" s="480"/>
      <c r="G5" s="480"/>
      <c r="H5" s="480"/>
      <c r="I5" s="480"/>
      <c r="J5" s="480"/>
      <c r="K5" s="480"/>
      <c r="L5" s="480"/>
      <c r="M5" s="480"/>
      <c r="N5" s="480"/>
      <c r="O5" s="480"/>
      <c r="P5" s="480"/>
      <c r="Q5" s="480"/>
      <c r="R5" s="480"/>
      <c r="S5" s="480"/>
      <c r="T5" s="480"/>
      <c r="U5" s="480"/>
      <c r="V5" s="480"/>
      <c r="W5" s="480"/>
      <c r="X5" s="480"/>
      <c r="Y5" s="480"/>
      <c r="Z5" s="480"/>
      <c r="AA5" s="480"/>
      <c r="AB5" s="480"/>
      <c r="AC5" s="480"/>
      <c r="AD5" s="480"/>
      <c r="AE5" s="480"/>
      <c r="AF5" s="480"/>
      <c r="AG5" s="480"/>
      <c r="AH5" s="480"/>
      <c r="AI5" s="480"/>
      <c r="AJ5" s="480"/>
      <c r="AK5" s="480"/>
      <c r="AL5" s="480"/>
      <c r="AM5" s="480"/>
      <c r="AN5" s="480"/>
      <c r="AO5" s="61"/>
      <c r="AP5" s="61"/>
      <c r="AR5" s="485" t="s">
        <v>20</v>
      </c>
      <c r="AS5" s="485"/>
      <c r="AT5" s="485"/>
      <c r="AU5" s="63"/>
    </row>
    <row r="6" spans="2:50" ht="17.399999999999999" x14ac:dyDescent="0.3">
      <c r="B6" s="61"/>
      <c r="C6" s="62"/>
      <c r="D6" s="480" t="s">
        <v>208</v>
      </c>
      <c r="E6" s="310"/>
      <c r="F6" s="310"/>
      <c r="G6" s="310"/>
      <c r="H6" s="310"/>
      <c r="I6" s="310"/>
      <c r="J6" s="310"/>
      <c r="K6" s="310"/>
      <c r="L6" s="310"/>
      <c r="M6" s="310"/>
      <c r="N6" s="310"/>
      <c r="O6" s="310"/>
      <c r="P6" s="310"/>
      <c r="Q6" s="310"/>
      <c r="R6" s="310"/>
      <c r="S6" s="310"/>
      <c r="T6" s="310"/>
      <c r="U6" s="310"/>
      <c r="V6" s="310"/>
      <c r="W6" s="310"/>
      <c r="X6" s="310"/>
      <c r="Y6" s="310"/>
      <c r="Z6" s="310"/>
      <c r="AA6" s="310"/>
      <c r="AB6" s="310"/>
      <c r="AC6" s="310"/>
      <c r="AD6" s="310"/>
      <c r="AE6" s="310"/>
      <c r="AF6" s="310"/>
      <c r="AG6" s="310"/>
      <c r="AH6" s="310"/>
      <c r="AI6" s="310"/>
      <c r="AJ6" s="310"/>
      <c r="AK6" s="310"/>
      <c r="AL6" s="310"/>
      <c r="AM6" s="310"/>
      <c r="AN6" s="310"/>
      <c r="AO6" s="14"/>
      <c r="AP6" s="14"/>
      <c r="AR6" s="485"/>
      <c r="AS6" s="485"/>
      <c r="AT6" s="485"/>
    </row>
    <row r="7" spans="2:50" ht="15" customHeight="1" x14ac:dyDescent="0.3">
      <c r="B7" s="480" t="s">
        <v>41</v>
      </c>
      <c r="C7" s="480"/>
      <c r="D7" s="480"/>
      <c r="E7" s="480"/>
      <c r="F7" s="480"/>
      <c r="G7" s="480"/>
      <c r="H7" s="480"/>
      <c r="I7" s="480"/>
      <c r="J7" s="480"/>
      <c r="K7" s="480"/>
      <c r="L7" s="480"/>
      <c r="M7" s="480"/>
      <c r="N7" s="480"/>
      <c r="O7" s="480"/>
      <c r="P7" s="480"/>
      <c r="Q7" s="480"/>
      <c r="R7" s="480"/>
      <c r="S7" s="480"/>
      <c r="T7" s="480"/>
      <c r="U7" s="480"/>
      <c r="V7" s="480"/>
      <c r="W7" s="480"/>
      <c r="X7" s="480"/>
      <c r="Y7" s="480"/>
      <c r="Z7" s="480"/>
      <c r="AA7" s="480"/>
      <c r="AB7" s="480"/>
      <c r="AC7" s="480"/>
      <c r="AD7" s="480"/>
      <c r="AE7" s="480"/>
      <c r="AF7" s="480"/>
      <c r="AG7" s="480"/>
      <c r="AH7" s="480"/>
      <c r="AI7" s="480"/>
      <c r="AJ7" s="480"/>
      <c r="AK7" s="480"/>
      <c r="AL7" s="480"/>
      <c r="AM7" s="480"/>
      <c r="AN7" s="480"/>
      <c r="AO7" s="61"/>
      <c r="AP7" s="61"/>
      <c r="AS7" s="306" t="s">
        <v>166</v>
      </c>
      <c r="AT7" s="306"/>
      <c r="AU7" s="306"/>
      <c r="AV7" s="306"/>
    </row>
    <row r="8" spans="2:50" ht="15" customHeight="1" x14ac:dyDescent="0.3">
      <c r="B8" s="480" t="s">
        <v>42</v>
      </c>
      <c r="C8" s="480"/>
      <c r="D8" s="480"/>
      <c r="E8" s="480"/>
      <c r="F8" s="480"/>
      <c r="G8" s="480"/>
      <c r="H8" s="480"/>
      <c r="I8" s="480"/>
      <c r="J8" s="480"/>
      <c r="K8" s="480"/>
      <c r="L8" s="480"/>
      <c r="M8" s="480"/>
      <c r="N8" s="480"/>
      <c r="O8" s="480"/>
      <c r="P8" s="480"/>
      <c r="Q8" s="480"/>
      <c r="R8" s="480"/>
      <c r="S8" s="480"/>
      <c r="T8" s="480"/>
      <c r="U8" s="480"/>
      <c r="V8" s="480"/>
      <c r="W8" s="480"/>
      <c r="X8" s="480"/>
      <c r="Y8" s="480"/>
      <c r="Z8" s="480"/>
      <c r="AA8" s="480"/>
      <c r="AB8" s="480"/>
      <c r="AC8" s="480"/>
      <c r="AD8" s="480"/>
      <c r="AE8" s="480"/>
      <c r="AF8" s="480"/>
      <c r="AG8" s="480"/>
      <c r="AH8" s="480"/>
      <c r="AI8" s="480"/>
      <c r="AJ8" s="480"/>
      <c r="AK8" s="480"/>
      <c r="AL8" s="480"/>
      <c r="AM8" s="480"/>
      <c r="AN8" s="480"/>
      <c r="AO8" s="61"/>
      <c r="AP8" s="61"/>
      <c r="AS8" s="306"/>
      <c r="AT8" s="306"/>
      <c r="AU8" s="306"/>
      <c r="AV8" s="306"/>
    </row>
    <row r="9" spans="2:50" ht="15" customHeight="1" x14ac:dyDescent="0.3">
      <c r="B9" s="61"/>
      <c r="C9" s="61"/>
      <c r="D9" s="61"/>
      <c r="E9" s="61"/>
      <c r="F9" s="61"/>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R9" s="485" t="s">
        <v>21</v>
      </c>
      <c r="AS9" s="485"/>
      <c r="AT9" s="485"/>
      <c r="AU9" s="485"/>
      <c r="AV9" s="485"/>
      <c r="AW9" s="63"/>
      <c r="AX9" s="63"/>
    </row>
    <row r="10" spans="2:50" ht="15" customHeight="1" x14ac:dyDescent="0.3">
      <c r="B10" s="1"/>
      <c r="C10" s="481" t="s">
        <v>38</v>
      </c>
      <c r="D10" s="482"/>
      <c r="E10" s="482"/>
      <c r="F10" s="482"/>
      <c r="G10" s="482"/>
      <c r="H10" s="482"/>
      <c r="I10" s="482"/>
      <c r="J10" s="482"/>
      <c r="K10" s="482"/>
      <c r="L10" s="482"/>
      <c r="M10" s="482"/>
      <c r="N10" s="482"/>
      <c r="O10" s="482"/>
      <c r="P10" s="482"/>
      <c r="Q10" s="482"/>
      <c r="R10" s="482"/>
      <c r="S10" s="482"/>
      <c r="T10" s="482"/>
      <c r="U10" s="482"/>
      <c r="V10" s="482"/>
      <c r="W10" s="482"/>
      <c r="X10" s="482"/>
      <c r="Y10" s="482"/>
      <c r="Z10" s="482"/>
      <c r="AA10" s="482"/>
      <c r="AB10" s="482"/>
      <c r="AC10" s="482"/>
      <c r="AD10" s="482"/>
      <c r="AE10" s="482"/>
      <c r="AF10" s="482"/>
      <c r="AG10" s="482"/>
      <c r="AH10" s="482"/>
      <c r="AI10" s="482"/>
      <c r="AJ10" s="482"/>
      <c r="AK10" s="482"/>
      <c r="AL10" s="482"/>
      <c r="AM10" s="482"/>
      <c r="AN10" s="482"/>
      <c r="AO10" s="1"/>
      <c r="AP10" s="1"/>
      <c r="AR10" s="485"/>
      <c r="AS10" s="485"/>
      <c r="AT10" s="485"/>
      <c r="AU10" s="485"/>
      <c r="AV10" s="485"/>
      <c r="AW10" s="63"/>
      <c r="AX10" s="63"/>
    </row>
    <row r="11" spans="2:50" ht="15" customHeight="1" x14ac:dyDescent="0.3">
      <c r="B11" s="1"/>
      <c r="C11" s="469">
        <v>1</v>
      </c>
      <c r="D11" s="469" t="s">
        <v>85</v>
      </c>
      <c r="E11" s="220"/>
      <c r="F11" s="220"/>
      <c r="G11" s="220"/>
      <c r="H11" s="220"/>
      <c r="I11" s="220"/>
      <c r="J11" s="220"/>
      <c r="K11" s="220"/>
      <c r="L11" s="220"/>
      <c r="M11" s="220"/>
      <c r="N11" s="220"/>
      <c r="O11" s="220"/>
      <c r="P11" s="220"/>
      <c r="Q11" s="220"/>
      <c r="R11" s="220"/>
      <c r="S11" s="470"/>
      <c r="T11" s="10" t="s">
        <v>5</v>
      </c>
      <c r="U11" s="477" t="str">
        <f>IF(ISBLANK('Basic Information'!L6)," ",PROPER('Basic Information'!L6))</f>
        <v xml:space="preserve"> </v>
      </c>
      <c r="V11" s="477"/>
      <c r="W11" s="477"/>
      <c r="X11" s="477"/>
      <c r="Y11" s="477"/>
      <c r="Z11" s="477"/>
      <c r="AA11" s="477"/>
      <c r="AB11" s="477"/>
      <c r="AC11" s="477"/>
      <c r="AD11" s="477"/>
      <c r="AE11" s="477"/>
      <c r="AF11" s="477"/>
      <c r="AG11" s="477"/>
      <c r="AH11" s="477"/>
      <c r="AI11" s="477"/>
      <c r="AJ11" s="477"/>
      <c r="AK11" s="477"/>
      <c r="AL11" s="477"/>
      <c r="AM11" s="477"/>
      <c r="AN11" s="477"/>
      <c r="AO11" s="61"/>
      <c r="AP11" s="61"/>
      <c r="AR11" s="309" t="s">
        <v>165</v>
      </c>
      <c r="AS11" s="309"/>
      <c r="AT11" s="309"/>
      <c r="AU11" s="309"/>
      <c r="AV11" s="309"/>
      <c r="AW11" s="309"/>
      <c r="AX11" s="64"/>
    </row>
    <row r="12" spans="2:50" ht="15" customHeight="1" x14ac:dyDescent="0.3">
      <c r="B12" s="1"/>
      <c r="C12" s="469"/>
      <c r="D12" s="484" t="s">
        <v>193</v>
      </c>
      <c r="E12" s="220"/>
      <c r="F12" s="220"/>
      <c r="G12" s="220"/>
      <c r="H12" s="220"/>
      <c r="I12" s="220"/>
      <c r="J12" s="220"/>
      <c r="K12" s="220"/>
      <c r="L12" s="220"/>
      <c r="M12" s="220"/>
      <c r="N12" s="220"/>
      <c r="O12" s="220"/>
      <c r="P12" s="220"/>
      <c r="Q12" s="220"/>
      <c r="R12" s="220"/>
      <c r="S12" s="220"/>
      <c r="T12" s="220"/>
      <c r="U12" s="220"/>
      <c r="V12" s="220"/>
      <c r="W12" s="220"/>
      <c r="X12" s="220"/>
      <c r="Y12" s="220"/>
      <c r="Z12" s="220"/>
      <c r="AA12" s="220"/>
      <c r="AB12" s="220"/>
      <c r="AC12" s="220"/>
      <c r="AD12" s="220"/>
      <c r="AE12" s="220"/>
      <c r="AF12" s="220"/>
      <c r="AG12" s="220"/>
      <c r="AH12" s="220"/>
      <c r="AI12" s="220"/>
      <c r="AJ12" s="220"/>
      <c r="AK12" s="220"/>
      <c r="AL12" s="220"/>
      <c r="AM12" s="220"/>
      <c r="AN12" s="220"/>
      <c r="AO12" s="61"/>
      <c r="AP12" s="61"/>
      <c r="AR12" s="309"/>
      <c r="AS12" s="309"/>
      <c r="AT12" s="309"/>
      <c r="AU12" s="309"/>
      <c r="AV12" s="309"/>
      <c r="AW12" s="309"/>
      <c r="AX12" s="64"/>
    </row>
    <row r="13" spans="2:50" ht="15" customHeight="1" x14ac:dyDescent="0.3">
      <c r="B13" s="1"/>
      <c r="C13" s="469"/>
      <c r="D13" s="469" t="s">
        <v>138</v>
      </c>
      <c r="E13" s="220"/>
      <c r="F13" s="220"/>
      <c r="G13" s="220"/>
      <c r="H13" s="220"/>
      <c r="I13" s="220"/>
      <c r="J13" s="220"/>
      <c r="K13" s="220"/>
      <c r="L13" s="220"/>
      <c r="M13" s="220"/>
      <c r="N13" s="220"/>
      <c r="O13" s="220"/>
      <c r="P13" s="220"/>
      <c r="Q13" s="220"/>
      <c r="R13" s="220"/>
      <c r="S13" s="470"/>
      <c r="T13" s="10" t="s">
        <v>5</v>
      </c>
      <c r="U13" s="471"/>
      <c r="V13" s="471"/>
      <c r="W13" s="471"/>
      <c r="X13" s="471"/>
      <c r="Y13" s="471"/>
      <c r="Z13" s="471"/>
      <c r="AA13" s="471"/>
      <c r="AB13" s="471"/>
      <c r="AC13" s="471"/>
      <c r="AD13" s="471"/>
      <c r="AE13" s="471"/>
      <c r="AF13" s="471"/>
      <c r="AG13" s="471"/>
      <c r="AH13" s="471"/>
      <c r="AI13" s="471"/>
      <c r="AJ13" s="471"/>
      <c r="AK13" s="471"/>
      <c r="AL13" s="471"/>
      <c r="AM13" s="471"/>
      <c r="AN13" s="471"/>
      <c r="AO13" s="1"/>
      <c r="AP13" s="1"/>
      <c r="AR13" s="486" t="s">
        <v>36</v>
      </c>
      <c r="AS13" s="486"/>
      <c r="AT13" s="486"/>
      <c r="AU13" s="486"/>
      <c r="AV13" s="486"/>
      <c r="AW13" s="486"/>
      <c r="AX13" s="64"/>
    </row>
    <row r="14" spans="2:50" ht="15" customHeight="1" x14ac:dyDescent="0.3">
      <c r="B14" s="1"/>
      <c r="C14" s="469"/>
      <c r="D14" s="469" t="s">
        <v>139</v>
      </c>
      <c r="E14" s="220"/>
      <c r="F14" s="220"/>
      <c r="G14" s="220"/>
      <c r="H14" s="220"/>
      <c r="I14" s="220"/>
      <c r="J14" s="220"/>
      <c r="K14" s="220"/>
      <c r="L14" s="220"/>
      <c r="M14" s="220"/>
      <c r="N14" s="220"/>
      <c r="O14" s="220"/>
      <c r="P14" s="220"/>
      <c r="Q14" s="220"/>
      <c r="R14" s="220"/>
      <c r="S14" s="470"/>
      <c r="T14" s="10" t="s">
        <v>5</v>
      </c>
      <c r="U14" s="467"/>
      <c r="V14" s="468"/>
      <c r="W14" s="468"/>
      <c r="X14" s="468"/>
      <c r="Y14" s="468"/>
      <c r="Z14" s="468"/>
      <c r="AA14" s="468"/>
      <c r="AB14" s="468"/>
      <c r="AC14" s="468"/>
      <c r="AD14" s="468"/>
      <c r="AE14" s="468"/>
      <c r="AF14" s="468"/>
      <c r="AG14" s="468"/>
      <c r="AH14" s="468"/>
      <c r="AI14" s="468"/>
      <c r="AJ14" s="468"/>
      <c r="AK14" s="468"/>
      <c r="AL14" s="468"/>
      <c r="AM14" s="468"/>
      <c r="AN14" s="468"/>
      <c r="AO14" s="1"/>
      <c r="AP14" s="1"/>
      <c r="AR14" s="486"/>
      <c r="AS14" s="486"/>
      <c r="AT14" s="486"/>
      <c r="AU14" s="486"/>
      <c r="AV14" s="486"/>
      <c r="AW14" s="486"/>
      <c r="AX14" s="64"/>
    </row>
    <row r="15" spans="2:50" ht="15" customHeight="1" x14ac:dyDescent="0.3">
      <c r="B15" s="1"/>
      <c r="C15" s="469"/>
      <c r="D15" s="469" t="s">
        <v>137</v>
      </c>
      <c r="E15" s="220"/>
      <c r="F15" s="220"/>
      <c r="G15" s="220"/>
      <c r="H15" s="220"/>
      <c r="I15" s="220"/>
      <c r="J15" s="220"/>
      <c r="K15" s="220"/>
      <c r="L15" s="220"/>
      <c r="M15" s="220"/>
      <c r="N15" s="220"/>
      <c r="O15" s="220"/>
      <c r="P15" s="220"/>
      <c r="Q15" s="220"/>
      <c r="R15" s="220"/>
      <c r="S15" s="470"/>
      <c r="T15" s="10" t="s">
        <v>5</v>
      </c>
      <c r="U15" s="471"/>
      <c r="V15" s="472"/>
      <c r="W15" s="472"/>
      <c r="X15" s="472"/>
      <c r="Y15" s="472"/>
      <c r="Z15" s="472"/>
      <c r="AA15" s="472"/>
      <c r="AB15" s="472"/>
      <c r="AC15" s="472"/>
      <c r="AD15" s="472"/>
      <c r="AE15" s="472"/>
      <c r="AF15" s="472"/>
      <c r="AG15" s="472"/>
      <c r="AH15" s="472"/>
      <c r="AI15" s="472"/>
      <c r="AJ15" s="472"/>
      <c r="AK15" s="472"/>
      <c r="AL15" s="472"/>
      <c r="AM15" s="472"/>
      <c r="AN15" s="472"/>
      <c r="AO15" s="1"/>
      <c r="AP15" s="1"/>
      <c r="AS15" s="487" t="s">
        <v>22</v>
      </c>
      <c r="AT15" s="487"/>
      <c r="AU15" s="487"/>
      <c r="AV15" s="487"/>
      <c r="AW15" s="487"/>
      <c r="AX15" s="64"/>
    </row>
    <row r="16" spans="2:50" ht="15" customHeight="1" x14ac:dyDescent="0.3">
      <c r="B16" s="1"/>
      <c r="C16" s="469"/>
      <c r="D16" s="469" t="s">
        <v>136</v>
      </c>
      <c r="E16" s="220"/>
      <c r="F16" s="220"/>
      <c r="G16" s="220"/>
      <c r="H16" s="220"/>
      <c r="I16" s="220"/>
      <c r="J16" s="220"/>
      <c r="K16" s="220"/>
      <c r="L16" s="220"/>
      <c r="M16" s="220"/>
      <c r="N16" s="220"/>
      <c r="O16" s="220"/>
      <c r="P16" s="220"/>
      <c r="Q16" s="220"/>
      <c r="R16" s="220"/>
      <c r="S16" s="470"/>
      <c r="T16" s="10" t="s">
        <v>5</v>
      </c>
      <c r="U16" s="467"/>
      <c r="V16" s="468"/>
      <c r="W16" s="468"/>
      <c r="X16" s="468"/>
      <c r="Y16" s="468"/>
      <c r="Z16" s="468"/>
      <c r="AA16" s="468"/>
      <c r="AB16" s="468"/>
      <c r="AC16" s="468"/>
      <c r="AD16" s="468"/>
      <c r="AE16" s="468"/>
      <c r="AF16" s="468"/>
      <c r="AG16" s="468"/>
      <c r="AH16" s="468"/>
      <c r="AI16" s="468"/>
      <c r="AJ16" s="468"/>
      <c r="AK16" s="468"/>
      <c r="AL16" s="468"/>
      <c r="AM16" s="468"/>
      <c r="AN16" s="468"/>
      <c r="AO16" s="1"/>
      <c r="AP16" s="1"/>
      <c r="AS16" s="488" t="s">
        <v>23</v>
      </c>
      <c r="AT16" s="488"/>
      <c r="AU16" s="488"/>
      <c r="AV16" s="489"/>
      <c r="AW16" s="490"/>
      <c r="AX16" s="64"/>
    </row>
    <row r="17" spans="2:51" ht="15" customHeight="1" x14ac:dyDescent="0.3">
      <c r="B17" s="1"/>
      <c r="C17" s="469"/>
      <c r="D17" s="469" t="s">
        <v>135</v>
      </c>
      <c r="E17" s="220"/>
      <c r="F17" s="220"/>
      <c r="G17" s="220"/>
      <c r="H17" s="220"/>
      <c r="I17" s="220"/>
      <c r="J17" s="220"/>
      <c r="K17" s="220"/>
      <c r="L17" s="220"/>
      <c r="M17" s="220"/>
      <c r="N17" s="220"/>
      <c r="O17" s="220"/>
      <c r="P17" s="220"/>
      <c r="Q17" s="220"/>
      <c r="R17" s="220"/>
      <c r="S17" s="470"/>
      <c r="T17" s="10" t="s">
        <v>5</v>
      </c>
      <c r="U17" s="471"/>
      <c r="V17" s="472"/>
      <c r="W17" s="472"/>
      <c r="X17" s="472"/>
      <c r="Y17" s="472"/>
      <c r="Z17" s="472"/>
      <c r="AA17" s="472"/>
      <c r="AB17" s="472"/>
      <c r="AC17" s="472"/>
      <c r="AD17" s="472"/>
      <c r="AE17" s="472"/>
      <c r="AF17" s="472"/>
      <c r="AG17" s="472"/>
      <c r="AH17" s="472"/>
      <c r="AI17" s="472"/>
      <c r="AJ17" s="472"/>
      <c r="AK17" s="472"/>
      <c r="AL17" s="472"/>
      <c r="AM17" s="472"/>
      <c r="AN17" s="472"/>
      <c r="AO17" s="1"/>
      <c r="AP17" s="1"/>
      <c r="AU17" s="64"/>
      <c r="AV17" s="64"/>
      <c r="AW17" s="64"/>
      <c r="AX17" s="64"/>
    </row>
    <row r="18" spans="2:51" ht="15" customHeight="1" x14ac:dyDescent="0.3">
      <c r="B18" s="1"/>
      <c r="C18" s="469"/>
      <c r="D18" s="469" t="s">
        <v>86</v>
      </c>
      <c r="E18" s="220"/>
      <c r="F18" s="220"/>
      <c r="G18" s="220"/>
      <c r="H18" s="220"/>
      <c r="I18" s="220"/>
      <c r="J18" s="220"/>
      <c r="K18" s="220"/>
      <c r="L18" s="220"/>
      <c r="M18" s="220"/>
      <c r="N18" s="220"/>
      <c r="O18" s="220"/>
      <c r="P18" s="220"/>
      <c r="Q18" s="220"/>
      <c r="R18" s="220"/>
      <c r="S18" s="470"/>
      <c r="T18" s="10" t="s">
        <v>5</v>
      </c>
      <c r="U18" s="467"/>
      <c r="V18" s="472"/>
      <c r="W18" s="472"/>
      <c r="X18" s="472"/>
      <c r="Y18" s="472"/>
      <c r="Z18" s="472"/>
      <c r="AA18" s="472"/>
      <c r="AB18" s="472"/>
      <c r="AC18" s="472"/>
      <c r="AD18" s="472"/>
      <c r="AE18" s="472"/>
      <c r="AF18" s="472"/>
      <c r="AG18" s="472"/>
      <c r="AH18" s="472"/>
      <c r="AI18" s="472"/>
      <c r="AJ18" s="472"/>
      <c r="AK18" s="472"/>
      <c r="AL18" s="472"/>
      <c r="AM18" s="472"/>
      <c r="AN18" s="472"/>
      <c r="AO18" s="1"/>
      <c r="AP18" s="1"/>
      <c r="AR18" s="315" t="s">
        <v>191</v>
      </c>
      <c r="AS18" s="315"/>
      <c r="AT18" s="315"/>
      <c r="AU18" s="315"/>
      <c r="AV18" s="315"/>
      <c r="AW18" s="315"/>
      <c r="AX18" s="64"/>
    </row>
    <row r="19" spans="2:51" ht="15" customHeight="1" x14ac:dyDescent="0.3">
      <c r="B19" s="1"/>
      <c r="C19" s="483"/>
      <c r="D19" s="469" t="s">
        <v>194</v>
      </c>
      <c r="E19" s="220"/>
      <c r="F19" s="220"/>
      <c r="G19" s="220"/>
      <c r="H19" s="220"/>
      <c r="I19" s="220"/>
      <c r="J19" s="220"/>
      <c r="K19" s="220"/>
      <c r="L19" s="220"/>
      <c r="M19" s="220"/>
      <c r="N19" s="220"/>
      <c r="O19" s="220"/>
      <c r="P19" s="220"/>
      <c r="Q19" s="220"/>
      <c r="R19" s="220"/>
      <c r="S19" s="470"/>
      <c r="T19" s="10" t="s">
        <v>5</v>
      </c>
      <c r="U19" s="471"/>
      <c r="V19" s="471"/>
      <c r="W19" s="471"/>
      <c r="X19" s="471"/>
      <c r="Y19" s="471"/>
      <c r="Z19" s="471"/>
      <c r="AA19" s="471"/>
      <c r="AB19" s="471"/>
      <c r="AC19" s="471"/>
      <c r="AD19" s="471"/>
      <c r="AE19" s="471"/>
      <c r="AF19" s="471"/>
      <c r="AG19" s="471"/>
      <c r="AH19" s="471"/>
      <c r="AI19" s="471"/>
      <c r="AJ19" s="471"/>
      <c r="AK19" s="471"/>
      <c r="AL19" s="471"/>
      <c r="AM19" s="471"/>
      <c r="AN19" s="471"/>
      <c r="AO19" s="1"/>
      <c r="AP19" s="1"/>
      <c r="AR19" s="315"/>
      <c r="AS19" s="315"/>
      <c r="AT19" s="315"/>
      <c r="AU19" s="315"/>
      <c r="AV19" s="315"/>
      <c r="AW19" s="315"/>
    </row>
    <row r="20" spans="2:51" ht="15" customHeight="1" x14ac:dyDescent="0.3">
      <c r="B20" s="1"/>
      <c r="C20" s="9">
        <v>2</v>
      </c>
      <c r="D20" s="473" t="s">
        <v>43</v>
      </c>
      <c r="E20" s="473"/>
      <c r="F20" s="473"/>
      <c r="G20" s="473"/>
      <c r="H20" s="473"/>
      <c r="I20" s="473"/>
      <c r="J20" s="473"/>
      <c r="K20" s="473"/>
      <c r="L20" s="473"/>
      <c r="M20" s="473"/>
      <c r="N20" s="473"/>
      <c r="O20" s="473"/>
      <c r="P20" s="473"/>
      <c r="Q20" s="473"/>
      <c r="R20" s="473"/>
      <c r="S20" s="474"/>
      <c r="T20" s="11" t="s">
        <v>5</v>
      </c>
      <c r="U20" s="477" t="str">
        <f>IF(ISNONTEXT('Basic Information'!AK6)," ",UPPER('Basic Information'!AK6))</f>
        <v xml:space="preserve"> </v>
      </c>
      <c r="V20" s="477"/>
      <c r="W20" s="477"/>
      <c r="X20" s="477"/>
      <c r="Y20" s="477"/>
      <c r="Z20" s="477"/>
      <c r="AA20" s="477"/>
      <c r="AB20" s="477"/>
      <c r="AC20" s="477"/>
      <c r="AD20" s="477"/>
      <c r="AE20" s="477"/>
      <c r="AF20" s="477"/>
      <c r="AG20" s="477"/>
      <c r="AH20" s="477"/>
      <c r="AI20" s="477"/>
      <c r="AJ20" s="477"/>
      <c r="AK20" s="477"/>
      <c r="AL20" s="477"/>
      <c r="AM20" s="477"/>
      <c r="AN20" s="477"/>
      <c r="AO20" s="1"/>
      <c r="AP20" s="1"/>
      <c r="AR20" s="315"/>
      <c r="AS20" s="315"/>
      <c r="AT20" s="315"/>
      <c r="AU20" s="315"/>
      <c r="AV20" s="315"/>
      <c r="AW20" s="315"/>
    </row>
    <row r="21" spans="2:51" x14ac:dyDescent="0.3">
      <c r="B21" s="1"/>
      <c r="C21" s="9">
        <v>3</v>
      </c>
      <c r="D21" s="473" t="s">
        <v>44</v>
      </c>
      <c r="E21" s="473"/>
      <c r="F21" s="473"/>
      <c r="G21" s="473"/>
      <c r="H21" s="473"/>
      <c r="I21" s="473"/>
      <c r="J21" s="473"/>
      <c r="K21" s="473"/>
      <c r="L21" s="473"/>
      <c r="M21" s="473"/>
      <c r="N21" s="473"/>
      <c r="O21" s="473"/>
      <c r="P21" s="473"/>
      <c r="Q21" s="473"/>
      <c r="R21" s="473"/>
      <c r="S21" s="474"/>
      <c r="T21" s="11" t="s">
        <v>5</v>
      </c>
      <c r="U21" s="467"/>
      <c r="V21" s="467"/>
      <c r="W21" s="467"/>
      <c r="X21" s="467"/>
      <c r="Y21" s="467"/>
      <c r="Z21" s="467"/>
      <c r="AA21" s="467"/>
      <c r="AB21" s="467"/>
      <c r="AC21" s="467"/>
      <c r="AD21" s="467"/>
      <c r="AE21" s="467"/>
      <c r="AF21" s="467"/>
      <c r="AG21" s="467"/>
      <c r="AH21" s="467"/>
      <c r="AI21" s="467"/>
      <c r="AJ21" s="467"/>
      <c r="AK21" s="467"/>
      <c r="AL21" s="467"/>
      <c r="AM21" s="467"/>
      <c r="AN21" s="467"/>
      <c r="AO21" s="1"/>
      <c r="AP21" s="1"/>
      <c r="AR21" s="315"/>
      <c r="AS21" s="315"/>
      <c r="AT21" s="315"/>
      <c r="AU21" s="315"/>
      <c r="AV21" s="315"/>
      <c r="AW21" s="315"/>
      <c r="AX21" s="1"/>
    </row>
    <row r="22" spans="2:51" x14ac:dyDescent="0.3">
      <c r="B22" s="1"/>
      <c r="C22" s="9">
        <v>4</v>
      </c>
      <c r="D22" s="473" t="s">
        <v>46</v>
      </c>
      <c r="E22" s="473"/>
      <c r="F22" s="473"/>
      <c r="G22" s="473"/>
      <c r="H22" s="473"/>
      <c r="I22" s="473"/>
      <c r="J22" s="473"/>
      <c r="K22" s="473"/>
      <c r="L22" s="473"/>
      <c r="M22" s="473"/>
      <c r="N22" s="473"/>
      <c r="O22" s="473"/>
      <c r="P22" s="473"/>
      <c r="Q22" s="473"/>
      <c r="R22" s="473"/>
      <c r="S22" s="474"/>
      <c r="T22" s="11" t="s">
        <v>5</v>
      </c>
      <c r="U22" s="471"/>
      <c r="V22" s="471"/>
      <c r="W22" s="471"/>
      <c r="X22" s="471"/>
      <c r="Y22" s="471"/>
      <c r="Z22" s="471"/>
      <c r="AA22" s="471"/>
      <c r="AB22" s="471"/>
      <c r="AC22" s="471"/>
      <c r="AD22" s="471"/>
      <c r="AE22" s="471"/>
      <c r="AF22" s="471"/>
      <c r="AG22" s="471"/>
      <c r="AH22" s="471"/>
      <c r="AI22" s="471"/>
      <c r="AJ22" s="471"/>
      <c r="AK22" s="471"/>
      <c r="AL22" s="471"/>
      <c r="AM22" s="471"/>
      <c r="AN22" s="471"/>
      <c r="AO22" s="1"/>
      <c r="AP22" s="1"/>
      <c r="AQ22" s="91" t="str">
        <f>IF(AND(ISNUMBER(AF27), OR(ISBLANK(U22),U22="SELECT")),"Please select Gender","")</f>
        <v/>
      </c>
      <c r="AT22" s="1"/>
      <c r="AU22" s="1"/>
      <c r="AV22" s="1"/>
      <c r="AW22" s="1"/>
      <c r="AX22" s="1"/>
    </row>
    <row r="23" spans="2:51" x14ac:dyDescent="0.3">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T23" s="1"/>
      <c r="AU23" s="67"/>
      <c r="AV23" s="67"/>
      <c r="AW23" s="1"/>
      <c r="AX23" s="1"/>
    </row>
    <row r="24" spans="2:51" x14ac:dyDescent="0.3">
      <c r="B24" s="1"/>
      <c r="C24" s="374" t="s">
        <v>47</v>
      </c>
      <c r="D24" s="374"/>
      <c r="E24" s="374"/>
      <c r="F24" s="374"/>
      <c r="G24" s="374"/>
      <c r="H24" s="374"/>
      <c r="I24" s="374"/>
      <c r="J24" s="374"/>
      <c r="K24" s="374"/>
      <c r="L24" s="374"/>
      <c r="M24" s="374"/>
      <c r="N24" s="374"/>
      <c r="O24" s="374"/>
      <c r="P24" s="374"/>
      <c r="Q24" s="374"/>
      <c r="R24" s="374"/>
      <c r="S24" s="374"/>
      <c r="T24" s="374"/>
      <c r="U24" s="374"/>
      <c r="V24" s="374"/>
      <c r="W24" s="374"/>
      <c r="X24" s="374"/>
      <c r="Y24" s="374"/>
      <c r="Z24" s="374"/>
      <c r="AA24" s="374"/>
      <c r="AB24" s="374"/>
      <c r="AC24" s="374"/>
      <c r="AD24" s="374"/>
      <c r="AE24" s="374"/>
      <c r="AF24" s="374"/>
      <c r="AG24" s="374"/>
      <c r="AH24" s="374"/>
      <c r="AI24" s="374"/>
      <c r="AJ24" s="374"/>
      <c r="AK24" s="374"/>
      <c r="AL24" s="374"/>
      <c r="AM24" s="374"/>
      <c r="AN24" s="374"/>
      <c r="AO24" s="62"/>
      <c r="AP24" s="62"/>
    </row>
    <row r="25" spans="2:51" x14ac:dyDescent="0.3">
      <c r="B25" s="1"/>
      <c r="C25" s="1"/>
      <c r="D25" s="1"/>
      <c r="E25" s="1"/>
      <c r="F25" s="1"/>
      <c r="G25" s="475" t="s">
        <v>78</v>
      </c>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c r="AE25" s="476" t="s">
        <v>231</v>
      </c>
      <c r="AF25" s="476"/>
      <c r="AG25" s="476"/>
      <c r="AH25" s="476"/>
      <c r="AI25" s="476"/>
      <c r="AJ25" s="476"/>
      <c r="AK25" s="476"/>
      <c r="AL25" s="476"/>
      <c r="AM25" s="1"/>
      <c r="AN25" s="1"/>
      <c r="AO25" s="1"/>
      <c r="AP25" s="1"/>
      <c r="AQ25" s="2" t="str">
        <f>IF(AND(NOT(ISBLANK(AF27)), OR(ISBLANK(AE25),AE25="SELECT")),"Please select a Assessement Year","")</f>
        <v/>
      </c>
    </row>
    <row r="26" spans="2:51" ht="15" customHeight="1" x14ac:dyDescent="0.3">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T26" s="58"/>
      <c r="AU26" s="59"/>
      <c r="AV26" s="59"/>
      <c r="AW26" s="59"/>
      <c r="AX26" s="59"/>
      <c r="AY26" s="59"/>
    </row>
    <row r="27" spans="2:51" ht="15" customHeight="1" x14ac:dyDescent="0.3">
      <c r="B27" s="1"/>
      <c r="C27" s="352">
        <v>1</v>
      </c>
      <c r="D27" s="352" t="s">
        <v>8</v>
      </c>
      <c r="E27" s="352"/>
      <c r="F27" s="415" t="s">
        <v>48</v>
      </c>
      <c r="G27" s="416"/>
      <c r="H27" s="416"/>
      <c r="I27" s="416"/>
      <c r="J27" s="416"/>
      <c r="K27" s="416"/>
      <c r="L27" s="416"/>
      <c r="M27" s="416"/>
      <c r="N27" s="416"/>
      <c r="O27" s="416"/>
      <c r="P27" s="416"/>
      <c r="Q27" s="416"/>
      <c r="R27" s="416"/>
      <c r="S27" s="416"/>
      <c r="T27" s="416"/>
      <c r="U27" s="416"/>
      <c r="V27" s="416"/>
      <c r="W27" s="416"/>
      <c r="X27" s="416"/>
      <c r="Y27" s="416"/>
      <c r="Z27" s="416"/>
      <c r="AA27" s="416"/>
      <c r="AB27" s="416"/>
      <c r="AC27" s="416"/>
      <c r="AD27" s="417"/>
      <c r="AE27" s="418"/>
      <c r="AF27" s="456"/>
      <c r="AG27" s="457"/>
      <c r="AH27" s="457"/>
      <c r="AI27" s="457"/>
      <c r="AJ27" s="457"/>
      <c r="AK27" s="457"/>
      <c r="AL27" s="457"/>
      <c r="AM27" s="457"/>
      <c r="AN27" s="458"/>
      <c r="AO27" s="3"/>
      <c r="AP27" s="93">
        <f>SUM('Income Tax Proforma - Old Schem'!N34,'Income Tax Proforma - Old Schem'!AH34,'Income Tax Proforma - Old Schem'!BC34)</f>
        <v>0</v>
      </c>
      <c r="AQ27" s="327" t="str">
        <f>IF(AF27&gt;AP27,"Please ensure that the salary received in arrears or in advance is included in section 'A2. Salary Arrear Statement' in the Income Tax Proforma-old schem sheet.","")</f>
        <v/>
      </c>
      <c r="AR27" s="327"/>
      <c r="AS27" s="327"/>
      <c r="AT27" s="327"/>
      <c r="AU27" s="327"/>
      <c r="AV27" s="327"/>
      <c r="AW27" s="327"/>
      <c r="AX27" s="327"/>
      <c r="AY27" s="55"/>
    </row>
    <row r="28" spans="2:51" ht="15" customHeight="1" x14ac:dyDescent="0.3">
      <c r="B28" s="1"/>
      <c r="C28" s="403"/>
      <c r="D28" s="403"/>
      <c r="E28" s="403"/>
      <c r="F28" s="419"/>
      <c r="G28" s="420"/>
      <c r="H28" s="420"/>
      <c r="I28" s="420"/>
      <c r="J28" s="420"/>
      <c r="K28" s="420"/>
      <c r="L28" s="420"/>
      <c r="M28" s="420"/>
      <c r="N28" s="420"/>
      <c r="O28" s="420"/>
      <c r="P28" s="420"/>
      <c r="Q28" s="420"/>
      <c r="R28" s="420"/>
      <c r="S28" s="420"/>
      <c r="T28" s="420"/>
      <c r="U28" s="420"/>
      <c r="V28" s="420"/>
      <c r="W28" s="420"/>
      <c r="X28" s="420"/>
      <c r="Y28" s="420"/>
      <c r="Z28" s="420"/>
      <c r="AA28" s="420"/>
      <c r="AB28" s="420"/>
      <c r="AC28" s="420"/>
      <c r="AD28" s="421"/>
      <c r="AE28" s="422"/>
      <c r="AF28" s="459"/>
      <c r="AG28" s="459"/>
      <c r="AH28" s="459"/>
      <c r="AI28" s="459"/>
      <c r="AJ28" s="459"/>
      <c r="AK28" s="459"/>
      <c r="AL28" s="459"/>
      <c r="AM28" s="459"/>
      <c r="AN28" s="460"/>
      <c r="AO28" s="3"/>
      <c r="AP28" s="3"/>
      <c r="AQ28" s="327"/>
      <c r="AR28" s="327"/>
      <c r="AS28" s="327"/>
      <c r="AT28" s="327"/>
      <c r="AU28" s="327"/>
      <c r="AV28" s="327"/>
      <c r="AW28" s="327"/>
      <c r="AX28" s="327"/>
      <c r="AY28" s="55"/>
    </row>
    <row r="29" spans="2:51" ht="15" customHeight="1" x14ac:dyDescent="0.3">
      <c r="B29" s="1"/>
      <c r="C29" s="431"/>
      <c r="D29" s="434" t="s">
        <v>9</v>
      </c>
      <c r="E29" s="435"/>
      <c r="F29" s="415" t="s">
        <v>79</v>
      </c>
      <c r="G29" s="440"/>
      <c r="H29" s="440"/>
      <c r="I29" s="440"/>
      <c r="J29" s="440"/>
      <c r="K29" s="440"/>
      <c r="L29" s="440"/>
      <c r="M29" s="440"/>
      <c r="N29" s="440"/>
      <c r="O29" s="440"/>
      <c r="P29" s="440"/>
      <c r="Q29" s="440"/>
      <c r="R29" s="440"/>
      <c r="S29" s="440"/>
      <c r="T29" s="440"/>
      <c r="U29" s="440"/>
      <c r="V29" s="440"/>
      <c r="W29" s="440"/>
      <c r="X29" s="440"/>
      <c r="Y29" s="440"/>
      <c r="Z29" s="440"/>
      <c r="AA29" s="440"/>
      <c r="AB29" s="440"/>
      <c r="AC29" s="440"/>
      <c r="AD29" s="440"/>
      <c r="AE29" s="441"/>
      <c r="AF29" s="423" t="s">
        <v>49</v>
      </c>
      <c r="AG29" s="461"/>
      <c r="AH29" s="461"/>
      <c r="AI29" s="461"/>
      <c r="AJ29" s="461"/>
      <c r="AK29" s="461"/>
      <c r="AL29" s="461"/>
      <c r="AM29" s="461"/>
      <c r="AN29" s="462"/>
      <c r="AO29" s="3"/>
      <c r="AP29" s="3"/>
      <c r="AT29" s="55"/>
      <c r="AU29" s="55"/>
      <c r="AV29" s="55"/>
      <c r="AW29" s="55"/>
      <c r="AX29" s="55"/>
      <c r="AY29" s="55"/>
    </row>
    <row r="30" spans="2:51" ht="15" customHeight="1" x14ac:dyDescent="0.3">
      <c r="B30" s="1"/>
      <c r="C30" s="432"/>
      <c r="D30" s="436"/>
      <c r="E30" s="437"/>
      <c r="F30" s="442"/>
      <c r="G30" s="443"/>
      <c r="H30" s="443"/>
      <c r="I30" s="443"/>
      <c r="J30" s="443"/>
      <c r="K30" s="443"/>
      <c r="L30" s="443"/>
      <c r="M30" s="443"/>
      <c r="N30" s="443"/>
      <c r="O30" s="443"/>
      <c r="P30" s="443"/>
      <c r="Q30" s="443"/>
      <c r="R30" s="443"/>
      <c r="S30" s="443"/>
      <c r="T30" s="443"/>
      <c r="U30" s="443"/>
      <c r="V30" s="443"/>
      <c r="W30" s="443"/>
      <c r="X30" s="443"/>
      <c r="Y30" s="443"/>
      <c r="Z30" s="443"/>
      <c r="AA30" s="443"/>
      <c r="AB30" s="443"/>
      <c r="AC30" s="443"/>
      <c r="AD30" s="443"/>
      <c r="AE30" s="444"/>
      <c r="AF30" s="463"/>
      <c r="AG30" s="463"/>
      <c r="AH30" s="463"/>
      <c r="AI30" s="463"/>
      <c r="AJ30" s="463"/>
      <c r="AK30" s="463"/>
      <c r="AL30" s="463"/>
      <c r="AM30" s="463"/>
      <c r="AN30" s="464"/>
      <c r="AO30" s="3"/>
      <c r="AP30" s="3"/>
    </row>
    <row r="31" spans="2:51" x14ac:dyDescent="0.3">
      <c r="B31" s="1"/>
      <c r="C31" s="433"/>
      <c r="D31" s="438"/>
      <c r="E31" s="439"/>
      <c r="F31" s="445"/>
      <c r="G31" s="446"/>
      <c r="H31" s="446"/>
      <c r="I31" s="446"/>
      <c r="J31" s="446"/>
      <c r="K31" s="446"/>
      <c r="L31" s="446"/>
      <c r="M31" s="446"/>
      <c r="N31" s="446"/>
      <c r="O31" s="446"/>
      <c r="P31" s="446"/>
      <c r="Q31" s="446"/>
      <c r="R31" s="446"/>
      <c r="S31" s="446"/>
      <c r="T31" s="446"/>
      <c r="U31" s="446"/>
      <c r="V31" s="446"/>
      <c r="W31" s="446"/>
      <c r="X31" s="446"/>
      <c r="Y31" s="446"/>
      <c r="Z31" s="446"/>
      <c r="AA31" s="446"/>
      <c r="AB31" s="446"/>
      <c r="AC31" s="446"/>
      <c r="AD31" s="446"/>
      <c r="AE31" s="447"/>
      <c r="AF31" s="465"/>
      <c r="AG31" s="465"/>
      <c r="AH31" s="465"/>
      <c r="AI31" s="465"/>
      <c r="AJ31" s="465"/>
      <c r="AK31" s="465"/>
      <c r="AL31" s="465"/>
      <c r="AM31" s="465"/>
      <c r="AN31" s="466"/>
      <c r="AO31" s="3"/>
      <c r="AP31" s="3"/>
    </row>
    <row r="32" spans="2:51" x14ac:dyDescent="0.3">
      <c r="B32" s="1"/>
      <c r="C32" s="431"/>
      <c r="D32" s="434" t="s">
        <v>50</v>
      </c>
      <c r="E32" s="435"/>
      <c r="F32" s="415" t="s">
        <v>80</v>
      </c>
      <c r="G32" s="440"/>
      <c r="H32" s="440"/>
      <c r="I32" s="440"/>
      <c r="J32" s="440"/>
      <c r="K32" s="440"/>
      <c r="L32" s="440"/>
      <c r="M32" s="440"/>
      <c r="N32" s="440"/>
      <c r="O32" s="440"/>
      <c r="P32" s="440"/>
      <c r="Q32" s="440"/>
      <c r="R32" s="440"/>
      <c r="S32" s="440"/>
      <c r="T32" s="440"/>
      <c r="U32" s="440"/>
      <c r="V32" s="440"/>
      <c r="W32" s="440"/>
      <c r="X32" s="440"/>
      <c r="Y32" s="440"/>
      <c r="Z32" s="440"/>
      <c r="AA32" s="440"/>
      <c r="AB32" s="440"/>
      <c r="AC32" s="440"/>
      <c r="AD32" s="440"/>
      <c r="AE32" s="441"/>
      <c r="AF32" s="448" t="s">
        <v>49</v>
      </c>
      <c r="AG32" s="449"/>
      <c r="AH32" s="449"/>
      <c r="AI32" s="449"/>
      <c r="AJ32" s="449"/>
      <c r="AK32" s="449"/>
      <c r="AL32" s="449"/>
      <c r="AM32" s="449"/>
      <c r="AN32" s="450"/>
      <c r="AO32" s="65"/>
      <c r="AP32" s="65"/>
    </row>
    <row r="33" spans="2:42" x14ac:dyDescent="0.3">
      <c r="B33" s="1"/>
      <c r="C33" s="432"/>
      <c r="D33" s="436"/>
      <c r="E33" s="437"/>
      <c r="F33" s="442"/>
      <c r="G33" s="443"/>
      <c r="H33" s="443"/>
      <c r="I33" s="443"/>
      <c r="J33" s="443"/>
      <c r="K33" s="443"/>
      <c r="L33" s="443"/>
      <c r="M33" s="443"/>
      <c r="N33" s="443"/>
      <c r="O33" s="443"/>
      <c r="P33" s="443"/>
      <c r="Q33" s="443"/>
      <c r="R33" s="443"/>
      <c r="S33" s="443"/>
      <c r="T33" s="443"/>
      <c r="U33" s="443"/>
      <c r="V33" s="443"/>
      <c r="W33" s="443"/>
      <c r="X33" s="443"/>
      <c r="Y33" s="443"/>
      <c r="Z33" s="443"/>
      <c r="AA33" s="443"/>
      <c r="AB33" s="443"/>
      <c r="AC33" s="443"/>
      <c r="AD33" s="443"/>
      <c r="AE33" s="444"/>
      <c r="AF33" s="451"/>
      <c r="AG33" s="373"/>
      <c r="AH33" s="373"/>
      <c r="AI33" s="373"/>
      <c r="AJ33" s="373"/>
      <c r="AK33" s="373"/>
      <c r="AL33" s="373"/>
      <c r="AM33" s="373"/>
      <c r="AN33" s="452"/>
      <c r="AO33" s="65"/>
      <c r="AP33" s="65"/>
    </row>
    <row r="34" spans="2:42" x14ac:dyDescent="0.3">
      <c r="B34" s="1"/>
      <c r="C34" s="432"/>
      <c r="D34" s="436"/>
      <c r="E34" s="437"/>
      <c r="F34" s="442"/>
      <c r="G34" s="443"/>
      <c r="H34" s="443"/>
      <c r="I34" s="443"/>
      <c r="J34" s="443"/>
      <c r="K34" s="443"/>
      <c r="L34" s="443"/>
      <c r="M34" s="443"/>
      <c r="N34" s="443"/>
      <c r="O34" s="443"/>
      <c r="P34" s="443"/>
      <c r="Q34" s="443"/>
      <c r="R34" s="443"/>
      <c r="S34" s="443"/>
      <c r="T34" s="443"/>
      <c r="U34" s="443"/>
      <c r="V34" s="443"/>
      <c r="W34" s="443"/>
      <c r="X34" s="443"/>
      <c r="Y34" s="443"/>
      <c r="Z34" s="443"/>
      <c r="AA34" s="443"/>
      <c r="AB34" s="443"/>
      <c r="AC34" s="443"/>
      <c r="AD34" s="443"/>
      <c r="AE34" s="444"/>
      <c r="AF34" s="451"/>
      <c r="AG34" s="373"/>
      <c r="AH34" s="373"/>
      <c r="AI34" s="373"/>
      <c r="AJ34" s="373"/>
      <c r="AK34" s="373"/>
      <c r="AL34" s="373"/>
      <c r="AM34" s="373"/>
      <c r="AN34" s="452"/>
      <c r="AO34" s="65"/>
      <c r="AP34" s="65"/>
    </row>
    <row r="35" spans="2:42" x14ac:dyDescent="0.3">
      <c r="B35" s="1"/>
      <c r="C35" s="432"/>
      <c r="D35" s="436"/>
      <c r="E35" s="437"/>
      <c r="F35" s="442"/>
      <c r="G35" s="443"/>
      <c r="H35" s="443"/>
      <c r="I35" s="443"/>
      <c r="J35" s="443"/>
      <c r="K35" s="443"/>
      <c r="L35" s="443"/>
      <c r="M35" s="443"/>
      <c r="N35" s="443"/>
      <c r="O35" s="443"/>
      <c r="P35" s="443"/>
      <c r="Q35" s="443"/>
      <c r="R35" s="443"/>
      <c r="S35" s="443"/>
      <c r="T35" s="443"/>
      <c r="U35" s="443"/>
      <c r="V35" s="443"/>
      <c r="W35" s="443"/>
      <c r="X35" s="443"/>
      <c r="Y35" s="443"/>
      <c r="Z35" s="443"/>
      <c r="AA35" s="443"/>
      <c r="AB35" s="443"/>
      <c r="AC35" s="443"/>
      <c r="AD35" s="443"/>
      <c r="AE35" s="444"/>
      <c r="AF35" s="451"/>
      <c r="AG35" s="373"/>
      <c r="AH35" s="373"/>
      <c r="AI35" s="373"/>
      <c r="AJ35" s="373"/>
      <c r="AK35" s="373"/>
      <c r="AL35" s="373"/>
      <c r="AM35" s="373"/>
      <c r="AN35" s="452"/>
      <c r="AO35" s="65"/>
      <c r="AP35" s="65"/>
    </row>
    <row r="36" spans="2:42" x14ac:dyDescent="0.3">
      <c r="B36" s="1"/>
      <c r="C36" s="432"/>
      <c r="D36" s="436"/>
      <c r="E36" s="437"/>
      <c r="F36" s="442"/>
      <c r="G36" s="443"/>
      <c r="H36" s="443"/>
      <c r="I36" s="443"/>
      <c r="J36" s="443"/>
      <c r="K36" s="443"/>
      <c r="L36" s="443"/>
      <c r="M36" s="443"/>
      <c r="N36" s="443"/>
      <c r="O36" s="443"/>
      <c r="P36" s="443"/>
      <c r="Q36" s="443"/>
      <c r="R36" s="443"/>
      <c r="S36" s="443"/>
      <c r="T36" s="443"/>
      <c r="U36" s="443"/>
      <c r="V36" s="443"/>
      <c r="W36" s="443"/>
      <c r="X36" s="443"/>
      <c r="Y36" s="443"/>
      <c r="Z36" s="443"/>
      <c r="AA36" s="443"/>
      <c r="AB36" s="443"/>
      <c r="AC36" s="443"/>
      <c r="AD36" s="443"/>
      <c r="AE36" s="444"/>
      <c r="AF36" s="451"/>
      <c r="AG36" s="373"/>
      <c r="AH36" s="373"/>
      <c r="AI36" s="373"/>
      <c r="AJ36" s="373"/>
      <c r="AK36" s="373"/>
      <c r="AL36" s="373"/>
      <c r="AM36" s="373"/>
      <c r="AN36" s="452"/>
      <c r="AO36" s="65"/>
      <c r="AP36" s="65"/>
    </row>
    <row r="37" spans="2:42" x14ac:dyDescent="0.3">
      <c r="B37" s="1"/>
      <c r="C37" s="433"/>
      <c r="D37" s="438"/>
      <c r="E37" s="439"/>
      <c r="F37" s="445"/>
      <c r="G37" s="446"/>
      <c r="H37" s="446"/>
      <c r="I37" s="446"/>
      <c r="J37" s="446"/>
      <c r="K37" s="446"/>
      <c r="L37" s="446"/>
      <c r="M37" s="446"/>
      <c r="N37" s="446"/>
      <c r="O37" s="446"/>
      <c r="P37" s="446"/>
      <c r="Q37" s="446"/>
      <c r="R37" s="446"/>
      <c r="S37" s="446"/>
      <c r="T37" s="446"/>
      <c r="U37" s="446"/>
      <c r="V37" s="446"/>
      <c r="W37" s="446"/>
      <c r="X37" s="446"/>
      <c r="Y37" s="446"/>
      <c r="Z37" s="446"/>
      <c r="AA37" s="446"/>
      <c r="AB37" s="446"/>
      <c r="AC37" s="446"/>
      <c r="AD37" s="446"/>
      <c r="AE37" s="447"/>
      <c r="AF37" s="453"/>
      <c r="AG37" s="454"/>
      <c r="AH37" s="454"/>
      <c r="AI37" s="454"/>
      <c r="AJ37" s="454"/>
      <c r="AK37" s="454"/>
      <c r="AL37" s="454"/>
      <c r="AM37" s="454"/>
      <c r="AN37" s="455"/>
      <c r="AO37" s="65"/>
      <c r="AP37" s="65"/>
    </row>
    <row r="38" spans="2:42" x14ac:dyDescent="0.3">
      <c r="B38" s="1"/>
      <c r="C38" s="352"/>
      <c r="D38" s="352" t="s">
        <v>10</v>
      </c>
      <c r="E38" s="352"/>
      <c r="F38" s="415" t="s">
        <v>51</v>
      </c>
      <c r="G38" s="416"/>
      <c r="H38" s="416"/>
      <c r="I38" s="416"/>
      <c r="J38" s="416"/>
      <c r="K38" s="416"/>
      <c r="L38" s="416"/>
      <c r="M38" s="416"/>
      <c r="N38" s="416"/>
      <c r="O38" s="416"/>
      <c r="P38" s="416"/>
      <c r="Q38" s="416"/>
      <c r="R38" s="416"/>
      <c r="S38" s="416"/>
      <c r="T38" s="416"/>
      <c r="U38" s="416"/>
      <c r="V38" s="416"/>
      <c r="W38" s="416"/>
      <c r="X38" s="416"/>
      <c r="Y38" s="416"/>
      <c r="Z38" s="416"/>
      <c r="AA38" s="416"/>
      <c r="AB38" s="416"/>
      <c r="AC38" s="416"/>
      <c r="AD38" s="417"/>
      <c r="AE38" s="418"/>
      <c r="AF38" s="423" t="s">
        <v>49</v>
      </c>
      <c r="AG38" s="424"/>
      <c r="AH38" s="424"/>
      <c r="AI38" s="424"/>
      <c r="AJ38" s="424"/>
      <c r="AK38" s="424"/>
      <c r="AL38" s="424"/>
      <c r="AM38" s="424"/>
      <c r="AN38" s="425"/>
      <c r="AO38" s="4"/>
      <c r="AP38" s="4"/>
    </row>
    <row r="39" spans="2:42" x14ac:dyDescent="0.3">
      <c r="B39" s="1"/>
      <c r="C39" s="403"/>
      <c r="D39" s="403"/>
      <c r="E39" s="403"/>
      <c r="F39" s="419"/>
      <c r="G39" s="420"/>
      <c r="H39" s="420"/>
      <c r="I39" s="420"/>
      <c r="J39" s="420"/>
      <c r="K39" s="420"/>
      <c r="L39" s="420"/>
      <c r="M39" s="420"/>
      <c r="N39" s="420"/>
      <c r="O39" s="420"/>
      <c r="P39" s="420"/>
      <c r="Q39" s="420"/>
      <c r="R39" s="420"/>
      <c r="S39" s="420"/>
      <c r="T39" s="420"/>
      <c r="U39" s="420"/>
      <c r="V39" s="420"/>
      <c r="W39" s="420"/>
      <c r="X39" s="420"/>
      <c r="Y39" s="420"/>
      <c r="Z39" s="420"/>
      <c r="AA39" s="420"/>
      <c r="AB39" s="420"/>
      <c r="AC39" s="420"/>
      <c r="AD39" s="421"/>
      <c r="AE39" s="422"/>
      <c r="AF39" s="426"/>
      <c r="AG39" s="426"/>
      <c r="AH39" s="426"/>
      <c r="AI39" s="426"/>
      <c r="AJ39" s="426"/>
      <c r="AK39" s="426"/>
      <c r="AL39" s="426"/>
      <c r="AM39" s="426"/>
      <c r="AN39" s="427"/>
      <c r="AO39" s="4"/>
      <c r="AP39" s="4"/>
    </row>
    <row r="40" spans="2:42" x14ac:dyDescent="0.3">
      <c r="B40" s="1"/>
      <c r="C40" s="352">
        <v>2</v>
      </c>
      <c r="D40" s="352"/>
      <c r="E40" s="352"/>
      <c r="F40" s="415" t="s">
        <v>81</v>
      </c>
      <c r="G40" s="416"/>
      <c r="H40" s="416"/>
      <c r="I40" s="416"/>
      <c r="J40" s="416"/>
      <c r="K40" s="416"/>
      <c r="L40" s="416"/>
      <c r="M40" s="416"/>
      <c r="N40" s="416"/>
      <c r="O40" s="416"/>
      <c r="P40" s="416"/>
      <c r="Q40" s="416"/>
      <c r="R40" s="416"/>
      <c r="S40" s="416"/>
      <c r="T40" s="416"/>
      <c r="U40" s="416"/>
      <c r="V40" s="416"/>
      <c r="W40" s="416"/>
      <c r="X40" s="416"/>
      <c r="Y40" s="416"/>
      <c r="Z40" s="416"/>
      <c r="AA40" s="416"/>
      <c r="AB40" s="416"/>
      <c r="AC40" s="416"/>
      <c r="AD40" s="417"/>
      <c r="AE40" s="418"/>
      <c r="AF40" s="423" t="s">
        <v>52</v>
      </c>
      <c r="AG40" s="424"/>
      <c r="AH40" s="424"/>
      <c r="AI40" s="424"/>
      <c r="AJ40" s="424"/>
      <c r="AK40" s="424"/>
      <c r="AL40" s="424"/>
      <c r="AM40" s="424"/>
      <c r="AN40" s="425"/>
      <c r="AO40" s="4"/>
      <c r="AP40" s="4"/>
    </row>
    <row r="41" spans="2:42" x14ac:dyDescent="0.3">
      <c r="B41" s="1"/>
      <c r="C41" s="403"/>
      <c r="D41" s="403"/>
      <c r="E41" s="403"/>
      <c r="F41" s="419"/>
      <c r="G41" s="420"/>
      <c r="H41" s="420"/>
      <c r="I41" s="420"/>
      <c r="J41" s="420"/>
      <c r="K41" s="420"/>
      <c r="L41" s="420"/>
      <c r="M41" s="420"/>
      <c r="N41" s="420"/>
      <c r="O41" s="420"/>
      <c r="P41" s="420"/>
      <c r="Q41" s="420"/>
      <c r="R41" s="420"/>
      <c r="S41" s="420"/>
      <c r="T41" s="420"/>
      <c r="U41" s="420"/>
      <c r="V41" s="420"/>
      <c r="W41" s="420"/>
      <c r="X41" s="420"/>
      <c r="Y41" s="420"/>
      <c r="Z41" s="420"/>
      <c r="AA41" s="420"/>
      <c r="AB41" s="420"/>
      <c r="AC41" s="420"/>
      <c r="AD41" s="421"/>
      <c r="AE41" s="422"/>
      <c r="AF41" s="426"/>
      <c r="AG41" s="426"/>
      <c r="AH41" s="426"/>
      <c r="AI41" s="426"/>
      <c r="AJ41" s="426"/>
      <c r="AK41" s="426"/>
      <c r="AL41" s="426"/>
      <c r="AM41" s="426"/>
      <c r="AN41" s="427"/>
      <c r="AO41" s="4"/>
      <c r="AP41" s="4"/>
    </row>
    <row r="42" spans="2:42" x14ac:dyDescent="0.3">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row>
    <row r="43" spans="2:42" x14ac:dyDescent="0.3">
      <c r="B43" s="1"/>
      <c r="C43" s="1"/>
      <c r="D43" s="1"/>
      <c r="E43" s="1"/>
      <c r="F43" s="1"/>
      <c r="G43" s="1"/>
      <c r="H43" s="1"/>
      <c r="I43" s="1"/>
      <c r="J43" s="1"/>
      <c r="K43" s="1"/>
      <c r="L43" s="1"/>
      <c r="M43" s="1"/>
      <c r="N43" s="1"/>
      <c r="O43" s="1"/>
      <c r="P43" s="428" t="s">
        <v>54</v>
      </c>
      <c r="Q43" s="374"/>
      <c r="R43" s="374"/>
      <c r="S43" s="374"/>
      <c r="T43" s="374"/>
      <c r="U43" s="374"/>
      <c r="V43" s="374"/>
      <c r="W43" s="374"/>
      <c r="X43" s="374"/>
      <c r="Y43" s="374"/>
      <c r="Z43" s="374"/>
      <c r="AA43" s="1"/>
      <c r="AB43" s="1"/>
      <c r="AC43" s="1"/>
      <c r="AD43" s="1"/>
      <c r="AE43" s="1"/>
      <c r="AF43" s="1"/>
      <c r="AG43" s="1"/>
      <c r="AH43" s="1"/>
      <c r="AI43" s="1"/>
      <c r="AJ43" s="1"/>
      <c r="AK43" s="1"/>
      <c r="AL43" s="1"/>
      <c r="AM43" s="1"/>
      <c r="AN43" s="1"/>
      <c r="AO43" s="1"/>
      <c r="AP43" s="1"/>
    </row>
    <row r="44" spans="2:42" x14ac:dyDescent="0.3">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row>
    <row r="45" spans="2:42" x14ac:dyDescent="0.3">
      <c r="B45" s="1"/>
      <c r="C45" s="1" t="s">
        <v>55</v>
      </c>
      <c r="D45" s="429" t="str">
        <f>IF(ISBLANK(U11)," ", PROPER(U11))</f>
        <v xml:space="preserve"> </v>
      </c>
      <c r="E45" s="429"/>
      <c r="F45" s="429"/>
      <c r="G45" s="429"/>
      <c r="H45" s="429"/>
      <c r="I45" s="429"/>
      <c r="J45" s="429"/>
      <c r="K45" s="429"/>
      <c r="L45" s="429"/>
      <c r="M45" s="429"/>
      <c r="N45" s="429"/>
      <c r="O45" s="429"/>
      <c r="P45" s="429"/>
      <c r="Q45" s="429"/>
      <c r="R45" s="429"/>
      <c r="S45" s="429"/>
      <c r="T45" s="429"/>
      <c r="U45" s="429"/>
      <c r="V45" s="411" t="s">
        <v>56</v>
      </c>
      <c r="W45" s="411"/>
      <c r="X45" s="411"/>
      <c r="Y45" s="411"/>
      <c r="Z45" s="411"/>
      <c r="AA45" s="411"/>
      <c r="AB45" s="411"/>
      <c r="AC45" s="411"/>
      <c r="AD45" s="411"/>
      <c r="AE45" s="411"/>
      <c r="AF45" s="411"/>
      <c r="AG45" s="411"/>
      <c r="AH45" s="411"/>
      <c r="AI45" s="411"/>
      <c r="AJ45" s="411"/>
      <c r="AK45" s="411"/>
      <c r="AL45" s="411"/>
      <c r="AM45" s="411"/>
      <c r="AN45" s="411"/>
      <c r="AO45" s="8"/>
      <c r="AP45" s="8"/>
    </row>
    <row r="46" spans="2:42" x14ac:dyDescent="0.3">
      <c r="B46" s="1"/>
      <c r="C46" s="411" t="s">
        <v>57</v>
      </c>
      <c r="D46" s="411"/>
      <c r="E46" s="411"/>
      <c r="F46" s="411"/>
      <c r="G46" s="411"/>
      <c r="H46" s="411"/>
      <c r="I46" s="411"/>
      <c r="J46" s="411"/>
      <c r="K46" s="411"/>
      <c r="L46" s="411"/>
      <c r="M46" s="411"/>
      <c r="N46" s="411"/>
      <c r="O46" s="411"/>
      <c r="P46" s="411"/>
      <c r="Q46" s="411"/>
      <c r="R46" s="411"/>
      <c r="S46" s="411"/>
      <c r="T46" s="411"/>
      <c r="U46" s="411"/>
      <c r="V46" s="411"/>
      <c r="W46" s="411"/>
      <c r="X46" s="411"/>
      <c r="Y46" s="411"/>
      <c r="Z46" s="411"/>
      <c r="AA46" s="411"/>
      <c r="AB46" s="411"/>
      <c r="AC46" s="411"/>
      <c r="AD46" s="411"/>
      <c r="AE46" s="1"/>
      <c r="AF46" s="1"/>
      <c r="AG46" s="1"/>
      <c r="AH46" s="1"/>
      <c r="AI46" s="1"/>
      <c r="AJ46" s="1"/>
      <c r="AK46" s="1"/>
      <c r="AL46" s="1"/>
      <c r="AM46" s="1"/>
      <c r="AN46" s="1"/>
      <c r="AO46" s="1"/>
      <c r="AP46" s="1"/>
    </row>
    <row r="47" spans="2:42" x14ac:dyDescent="0.3">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row>
    <row r="48" spans="2:42" x14ac:dyDescent="0.3">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row>
    <row r="49" spans="2:42" x14ac:dyDescent="0.3">
      <c r="B49" s="1"/>
      <c r="C49" s="411" t="s">
        <v>11</v>
      </c>
      <c r="D49" s="411"/>
      <c r="E49" s="411"/>
      <c r="F49" s="411"/>
      <c r="G49" s="1" t="s">
        <v>5</v>
      </c>
      <c r="H49" s="429" t="str">
        <f>IF(ISBLANK('Basic Information'!H34)," ",PROPER('Basic Information'!H34))</f>
        <v xml:space="preserve"> </v>
      </c>
      <c r="I49" s="429"/>
      <c r="J49" s="429"/>
      <c r="K49" s="429"/>
      <c r="L49" s="429"/>
      <c r="M49" s="429"/>
      <c r="N49" s="429"/>
      <c r="O49" s="429"/>
      <c r="P49" s="429"/>
      <c r="Q49" s="430"/>
      <c r="R49" s="430"/>
      <c r="S49" s="430"/>
      <c r="T49" s="430"/>
      <c r="U49" s="430"/>
      <c r="V49" s="1"/>
      <c r="W49" s="1"/>
      <c r="X49" s="1"/>
      <c r="Y49" s="1"/>
      <c r="Z49" s="1"/>
      <c r="AA49" s="1"/>
      <c r="AB49" s="1"/>
      <c r="AC49" s="374"/>
      <c r="AD49" s="374"/>
      <c r="AE49" s="374"/>
      <c r="AF49" s="374"/>
      <c r="AG49" s="374"/>
      <c r="AH49" s="374"/>
      <c r="AI49" s="374"/>
      <c r="AJ49" s="374"/>
      <c r="AK49" s="374"/>
      <c r="AL49" s="374"/>
      <c r="AM49" s="374"/>
      <c r="AN49" s="374"/>
      <c r="AO49" s="62"/>
      <c r="AP49" s="62"/>
    </row>
    <row r="50" spans="2:42" x14ac:dyDescent="0.3">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412"/>
      <c r="AD50" s="412"/>
      <c r="AE50" s="412"/>
      <c r="AF50" s="412"/>
      <c r="AG50" s="412"/>
      <c r="AH50" s="412"/>
      <c r="AI50" s="412"/>
      <c r="AJ50" s="412"/>
      <c r="AK50" s="412"/>
      <c r="AL50" s="412"/>
      <c r="AM50" s="412"/>
      <c r="AN50" s="412"/>
      <c r="AO50" s="62"/>
      <c r="AP50" s="62"/>
    </row>
    <row r="51" spans="2:42" x14ac:dyDescent="0.3">
      <c r="B51" s="1"/>
      <c r="C51" s="411" t="s">
        <v>12</v>
      </c>
      <c r="D51" s="411"/>
      <c r="E51" s="411"/>
      <c r="F51" s="411"/>
      <c r="G51" s="1" t="s">
        <v>5</v>
      </c>
      <c r="H51" s="413" t="str">
        <f>IF(ISBLANK('Basic Information'!H36)," ",'Basic Information'!H36)</f>
        <v xml:space="preserve"> </v>
      </c>
      <c r="I51" s="413"/>
      <c r="J51" s="413"/>
      <c r="K51" s="413"/>
      <c r="L51" s="413"/>
      <c r="M51" s="413"/>
      <c r="N51" s="413"/>
      <c r="O51" s="413"/>
      <c r="P51" s="413"/>
      <c r="Q51" s="1"/>
      <c r="R51" s="1"/>
      <c r="S51" s="1"/>
      <c r="T51" s="1"/>
      <c r="U51" s="1"/>
      <c r="V51" s="1"/>
      <c r="W51" s="1"/>
      <c r="X51" s="1"/>
      <c r="Y51" s="1"/>
      <c r="Z51" s="1"/>
      <c r="AA51" s="1"/>
      <c r="AB51" s="1"/>
      <c r="AC51" s="414" t="s">
        <v>53</v>
      </c>
      <c r="AD51" s="414"/>
      <c r="AE51" s="414"/>
      <c r="AF51" s="414"/>
      <c r="AG51" s="414"/>
      <c r="AH51" s="414"/>
      <c r="AI51" s="414"/>
      <c r="AJ51" s="414"/>
      <c r="AK51" s="414"/>
      <c r="AL51" s="414"/>
      <c r="AM51" s="414"/>
      <c r="AN51" s="414"/>
      <c r="AO51" s="5"/>
      <c r="AP51" s="5"/>
    </row>
    <row r="52" spans="2:42" x14ac:dyDescent="0.3">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row>
    <row r="53" spans="2:42" ht="6.75" customHeight="1" x14ac:dyDescent="0.3">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row>
    <row r="54" spans="2:42" ht="6.75" customHeight="1" x14ac:dyDescent="0.3">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row>
    <row r="55" spans="2:42" ht="9" customHeight="1" x14ac:dyDescent="0.3">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row>
    <row r="56" spans="2:42" ht="0.75" customHeight="1" x14ac:dyDescent="0.3">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row>
    <row r="57" spans="2:42" ht="16.5" customHeight="1" x14ac:dyDescent="0.3">
      <c r="B57" s="1"/>
      <c r="C57" s="1"/>
      <c r="D57" s="1"/>
      <c r="E57" s="1"/>
      <c r="F57" s="1"/>
      <c r="G57" s="1"/>
      <c r="H57" s="1"/>
      <c r="I57" s="1"/>
      <c r="J57" s="1"/>
      <c r="K57" s="1"/>
      <c r="L57" s="1"/>
      <c r="M57" s="1"/>
      <c r="N57" s="1"/>
      <c r="O57" s="1"/>
      <c r="P57" s="1"/>
      <c r="Q57" s="1"/>
      <c r="R57" s="409" t="s">
        <v>58</v>
      </c>
      <c r="S57" s="410"/>
      <c r="T57" s="410"/>
      <c r="U57" s="410"/>
      <c r="V57" s="410"/>
      <c r="W57" s="410"/>
      <c r="X57" s="410"/>
      <c r="Y57" s="66"/>
      <c r="Z57" s="1"/>
      <c r="AA57" s="1"/>
      <c r="AB57" s="1"/>
      <c r="AC57" s="1"/>
      <c r="AD57" s="1"/>
      <c r="AE57" s="1"/>
      <c r="AF57" s="1"/>
      <c r="AG57" s="1"/>
      <c r="AH57" s="1"/>
      <c r="AI57" s="1"/>
      <c r="AJ57" s="1"/>
      <c r="AK57" s="1"/>
      <c r="AL57" s="1"/>
      <c r="AM57" s="1"/>
      <c r="AN57" s="1"/>
      <c r="AO57" s="1"/>
      <c r="AP57" s="1"/>
    </row>
    <row r="58" spans="2:42" x14ac:dyDescent="0.3">
      <c r="B58" s="1"/>
      <c r="C58" s="1"/>
      <c r="D58" s="1"/>
      <c r="E58" s="1"/>
      <c r="F58" s="1"/>
      <c r="G58" s="1"/>
      <c r="H58" s="1"/>
      <c r="I58" s="1"/>
      <c r="J58" s="1"/>
      <c r="K58" s="1"/>
      <c r="L58" s="1"/>
      <c r="M58" s="1"/>
      <c r="N58" s="1"/>
      <c r="O58" s="374" t="s">
        <v>59</v>
      </c>
      <c r="P58" s="374"/>
      <c r="Q58" s="374"/>
      <c r="R58" s="374"/>
      <c r="S58" s="374"/>
      <c r="T58" s="374"/>
      <c r="U58" s="374"/>
      <c r="V58" s="374"/>
      <c r="W58" s="374"/>
      <c r="X58" s="374"/>
      <c r="Y58" s="374"/>
      <c r="Z58" s="374"/>
      <c r="AA58" s="374"/>
      <c r="AB58" s="1"/>
      <c r="AC58" s="1"/>
      <c r="AD58" s="1"/>
      <c r="AE58" s="1"/>
      <c r="AF58" s="1"/>
      <c r="AG58" s="1"/>
      <c r="AH58" s="1"/>
      <c r="AI58" s="1"/>
      <c r="AJ58" s="1"/>
      <c r="AK58" s="1"/>
      <c r="AL58" s="1"/>
      <c r="AM58" s="1"/>
      <c r="AN58" s="1"/>
      <c r="AO58" s="1"/>
      <c r="AP58" s="1"/>
    </row>
    <row r="59" spans="2:42" ht="3.75" customHeight="1" x14ac:dyDescent="0.3">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row>
    <row r="60" spans="2:42" x14ac:dyDescent="0.3">
      <c r="B60" s="1"/>
      <c r="C60" s="1"/>
      <c r="D60" s="1"/>
      <c r="E60" s="1"/>
      <c r="F60" s="1"/>
      <c r="G60" s="1"/>
      <c r="H60" s="1"/>
      <c r="I60" s="1"/>
      <c r="J60" s="1"/>
      <c r="K60" s="1"/>
      <c r="L60" s="1"/>
      <c r="M60" s="373" t="s">
        <v>60</v>
      </c>
      <c r="N60" s="134"/>
      <c r="O60" s="134"/>
      <c r="P60" s="134"/>
      <c r="Q60" s="134"/>
      <c r="R60" s="134"/>
      <c r="S60" s="134"/>
      <c r="T60" s="134"/>
      <c r="U60" s="134"/>
      <c r="V60" s="134"/>
      <c r="W60" s="134"/>
      <c r="X60" s="134"/>
      <c r="Y60" s="134"/>
      <c r="Z60" s="134"/>
      <c r="AA60" s="134"/>
      <c r="AB60" s="134"/>
      <c r="AC60" s="134"/>
      <c r="AD60" s="1"/>
      <c r="AE60" s="1"/>
      <c r="AF60" s="1"/>
      <c r="AG60" s="1"/>
      <c r="AH60" s="1"/>
      <c r="AI60" s="1"/>
      <c r="AJ60" s="1"/>
      <c r="AK60" s="1"/>
      <c r="AL60" s="1"/>
      <c r="AM60" s="1"/>
      <c r="AN60" s="1"/>
      <c r="AO60" s="1"/>
      <c r="AP60" s="1"/>
    </row>
    <row r="61" spans="2:42" ht="6" customHeight="1" x14ac:dyDescent="0.3">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row>
    <row r="62" spans="2:42" ht="13.5" customHeight="1" x14ac:dyDescent="0.3">
      <c r="B62" s="1"/>
      <c r="C62" s="352">
        <v>1</v>
      </c>
      <c r="D62" s="404" t="s">
        <v>61</v>
      </c>
      <c r="E62" s="405"/>
      <c r="F62" s="405"/>
      <c r="G62" s="405"/>
      <c r="H62" s="405"/>
      <c r="I62" s="405"/>
      <c r="J62" s="405"/>
      <c r="K62" s="405"/>
      <c r="L62" s="405"/>
      <c r="M62" s="405"/>
      <c r="N62" s="405"/>
      <c r="O62" s="405"/>
      <c r="P62" s="405"/>
      <c r="Q62" s="405"/>
      <c r="R62" s="405"/>
      <c r="S62" s="405"/>
      <c r="T62" s="405"/>
      <c r="U62" s="405"/>
      <c r="V62" s="405"/>
      <c r="W62" s="405"/>
      <c r="X62" s="405"/>
      <c r="Y62" s="405"/>
      <c r="Z62" s="405"/>
      <c r="AA62" s="405"/>
      <c r="AB62" s="405"/>
      <c r="AC62" s="263"/>
      <c r="AD62" s="263"/>
      <c r="AE62" s="264"/>
      <c r="AF62" s="364">
        <f>IF(AND(AF27&lt;&gt;0,AF27&lt;=AP27,'Income Tax Proforma - Old Schem'!AV161&lt;&gt;0),(('Income Tax Proforma - Old Schem'!AV161)-AF64),0)</f>
        <v>0</v>
      </c>
      <c r="AG62" s="365"/>
      <c r="AH62" s="365"/>
      <c r="AI62" s="365"/>
      <c r="AJ62" s="365"/>
      <c r="AK62" s="365"/>
      <c r="AL62" s="365"/>
      <c r="AM62" s="365"/>
      <c r="AN62" s="366"/>
      <c r="AO62" s="1"/>
      <c r="AP62" s="1"/>
    </row>
    <row r="63" spans="2:42" ht="12" customHeight="1" x14ac:dyDescent="0.3">
      <c r="B63" s="1"/>
      <c r="C63" s="403"/>
      <c r="D63" s="406"/>
      <c r="E63" s="407"/>
      <c r="F63" s="407"/>
      <c r="G63" s="407"/>
      <c r="H63" s="407"/>
      <c r="I63" s="407"/>
      <c r="J63" s="407"/>
      <c r="K63" s="407"/>
      <c r="L63" s="407"/>
      <c r="M63" s="407"/>
      <c r="N63" s="407"/>
      <c r="O63" s="407"/>
      <c r="P63" s="407"/>
      <c r="Q63" s="407"/>
      <c r="R63" s="407"/>
      <c r="S63" s="407"/>
      <c r="T63" s="407"/>
      <c r="U63" s="407"/>
      <c r="V63" s="407"/>
      <c r="W63" s="407"/>
      <c r="X63" s="407"/>
      <c r="Y63" s="407"/>
      <c r="Z63" s="407"/>
      <c r="AA63" s="407"/>
      <c r="AB63" s="407"/>
      <c r="AC63" s="407"/>
      <c r="AD63" s="407"/>
      <c r="AE63" s="408"/>
      <c r="AF63" s="370"/>
      <c r="AG63" s="371"/>
      <c r="AH63" s="371"/>
      <c r="AI63" s="371"/>
      <c r="AJ63" s="371"/>
      <c r="AK63" s="371"/>
      <c r="AL63" s="371"/>
      <c r="AM63" s="371"/>
      <c r="AN63" s="372"/>
      <c r="AO63" s="1"/>
      <c r="AP63" s="1"/>
    </row>
    <row r="64" spans="2:42" ht="10.5" customHeight="1" x14ac:dyDescent="0.3">
      <c r="B64" s="1"/>
      <c r="C64" s="352">
        <v>2</v>
      </c>
      <c r="D64" s="404" t="s">
        <v>62</v>
      </c>
      <c r="E64" s="405"/>
      <c r="F64" s="405"/>
      <c r="G64" s="405"/>
      <c r="H64" s="405"/>
      <c r="I64" s="405"/>
      <c r="J64" s="405"/>
      <c r="K64" s="405"/>
      <c r="L64" s="405"/>
      <c r="M64" s="405"/>
      <c r="N64" s="405"/>
      <c r="O64" s="405"/>
      <c r="P64" s="405"/>
      <c r="Q64" s="405"/>
      <c r="R64" s="405"/>
      <c r="S64" s="405"/>
      <c r="T64" s="405"/>
      <c r="U64" s="405"/>
      <c r="V64" s="405"/>
      <c r="W64" s="405"/>
      <c r="X64" s="405"/>
      <c r="Y64" s="405"/>
      <c r="Z64" s="405"/>
      <c r="AA64" s="405"/>
      <c r="AB64" s="405"/>
      <c r="AC64" s="263"/>
      <c r="AD64" s="263"/>
      <c r="AE64" s="264"/>
      <c r="AF64" s="364">
        <f>IF(AND(AF27&lt;=AP27,'Income Tax Proforma - Old Schem'!AV161&lt;&gt;0),AF27,0)</f>
        <v>0</v>
      </c>
      <c r="AG64" s="365"/>
      <c r="AH64" s="365"/>
      <c r="AI64" s="365"/>
      <c r="AJ64" s="365"/>
      <c r="AK64" s="365"/>
      <c r="AL64" s="365"/>
      <c r="AM64" s="365"/>
      <c r="AN64" s="366"/>
      <c r="AO64" s="1"/>
      <c r="AP64" s="1"/>
    </row>
    <row r="65" spans="2:49" ht="12.75" customHeight="1" x14ac:dyDescent="0.3">
      <c r="B65" s="1"/>
      <c r="C65" s="403"/>
      <c r="D65" s="406"/>
      <c r="E65" s="407"/>
      <c r="F65" s="407"/>
      <c r="G65" s="407"/>
      <c r="H65" s="407"/>
      <c r="I65" s="407"/>
      <c r="J65" s="407"/>
      <c r="K65" s="407"/>
      <c r="L65" s="407"/>
      <c r="M65" s="407"/>
      <c r="N65" s="407"/>
      <c r="O65" s="407"/>
      <c r="P65" s="407"/>
      <c r="Q65" s="407"/>
      <c r="R65" s="407"/>
      <c r="S65" s="407"/>
      <c r="T65" s="407"/>
      <c r="U65" s="407"/>
      <c r="V65" s="407"/>
      <c r="W65" s="407"/>
      <c r="X65" s="407"/>
      <c r="Y65" s="407"/>
      <c r="Z65" s="407"/>
      <c r="AA65" s="407"/>
      <c r="AB65" s="407"/>
      <c r="AC65" s="407"/>
      <c r="AD65" s="407"/>
      <c r="AE65" s="408"/>
      <c r="AF65" s="370"/>
      <c r="AG65" s="371"/>
      <c r="AH65" s="371"/>
      <c r="AI65" s="371"/>
      <c r="AJ65" s="371"/>
      <c r="AK65" s="371"/>
      <c r="AL65" s="371"/>
      <c r="AM65" s="371"/>
      <c r="AN65" s="372"/>
      <c r="AO65" s="1"/>
      <c r="AP65" s="1"/>
    </row>
    <row r="66" spans="2:49" ht="15.75" customHeight="1" x14ac:dyDescent="0.3">
      <c r="B66" s="1"/>
      <c r="C66" s="352">
        <v>3</v>
      </c>
      <c r="D66" s="355" t="s">
        <v>63</v>
      </c>
      <c r="E66" s="356"/>
      <c r="F66" s="356"/>
      <c r="G66" s="356"/>
      <c r="H66" s="356"/>
      <c r="I66" s="356"/>
      <c r="J66" s="356"/>
      <c r="K66" s="356"/>
      <c r="L66" s="356"/>
      <c r="M66" s="356"/>
      <c r="N66" s="356"/>
      <c r="O66" s="356"/>
      <c r="P66" s="356"/>
      <c r="Q66" s="356"/>
      <c r="R66" s="356"/>
      <c r="S66" s="356"/>
      <c r="T66" s="356"/>
      <c r="U66" s="356"/>
      <c r="V66" s="356"/>
      <c r="W66" s="356"/>
      <c r="X66" s="356"/>
      <c r="Y66" s="356"/>
      <c r="Z66" s="356"/>
      <c r="AA66" s="356"/>
      <c r="AB66" s="356"/>
      <c r="AC66" s="357"/>
      <c r="AD66" s="357"/>
      <c r="AE66" s="358"/>
      <c r="AF66" s="364">
        <f>SUM(AF62,AF64)</f>
        <v>0</v>
      </c>
      <c r="AG66" s="365"/>
      <c r="AH66" s="365"/>
      <c r="AI66" s="365"/>
      <c r="AJ66" s="365"/>
      <c r="AK66" s="365"/>
      <c r="AL66" s="365"/>
      <c r="AM66" s="365"/>
      <c r="AN66" s="366"/>
      <c r="AO66" s="1"/>
      <c r="AP66" s="1"/>
    </row>
    <row r="67" spans="2:49" x14ac:dyDescent="0.3">
      <c r="B67" s="1"/>
      <c r="C67" s="353"/>
      <c r="D67" s="359"/>
      <c r="E67" s="132"/>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32"/>
      <c r="AD67" s="132"/>
      <c r="AE67" s="360"/>
      <c r="AF67" s="367"/>
      <c r="AG67" s="368"/>
      <c r="AH67" s="368"/>
      <c r="AI67" s="368"/>
      <c r="AJ67" s="368"/>
      <c r="AK67" s="368"/>
      <c r="AL67" s="368"/>
      <c r="AM67" s="368"/>
      <c r="AN67" s="369"/>
      <c r="AO67" s="1"/>
      <c r="AP67" s="1"/>
    </row>
    <row r="68" spans="2:49" ht="12" customHeight="1" x14ac:dyDescent="0.3">
      <c r="B68" s="1"/>
      <c r="C68" s="354"/>
      <c r="D68" s="361"/>
      <c r="E68" s="362"/>
      <c r="F68" s="362"/>
      <c r="G68" s="362"/>
      <c r="H68" s="362"/>
      <c r="I68" s="362"/>
      <c r="J68" s="362"/>
      <c r="K68" s="362"/>
      <c r="L68" s="362"/>
      <c r="M68" s="362"/>
      <c r="N68" s="362"/>
      <c r="O68" s="362"/>
      <c r="P68" s="362"/>
      <c r="Q68" s="362"/>
      <c r="R68" s="362"/>
      <c r="S68" s="362"/>
      <c r="T68" s="362"/>
      <c r="U68" s="362"/>
      <c r="V68" s="362"/>
      <c r="W68" s="362"/>
      <c r="X68" s="362"/>
      <c r="Y68" s="362"/>
      <c r="Z68" s="362"/>
      <c r="AA68" s="362"/>
      <c r="AB68" s="362"/>
      <c r="AC68" s="362"/>
      <c r="AD68" s="362"/>
      <c r="AE68" s="363"/>
      <c r="AF68" s="370"/>
      <c r="AG68" s="371"/>
      <c r="AH68" s="371"/>
      <c r="AI68" s="371"/>
      <c r="AJ68" s="371"/>
      <c r="AK68" s="371"/>
      <c r="AL68" s="371"/>
      <c r="AM68" s="371"/>
      <c r="AN68" s="372"/>
      <c r="AO68" s="1"/>
      <c r="AP68" s="1"/>
    </row>
    <row r="69" spans="2:49" ht="11.25" customHeight="1" x14ac:dyDescent="0.3">
      <c r="B69" s="1"/>
      <c r="C69" s="352">
        <v>4</v>
      </c>
      <c r="D69" s="404" t="s">
        <v>64</v>
      </c>
      <c r="E69" s="405"/>
      <c r="F69" s="405"/>
      <c r="G69" s="405"/>
      <c r="H69" s="405"/>
      <c r="I69" s="405"/>
      <c r="J69" s="405"/>
      <c r="K69" s="405"/>
      <c r="L69" s="405"/>
      <c r="M69" s="405"/>
      <c r="N69" s="405"/>
      <c r="O69" s="405"/>
      <c r="P69" s="405"/>
      <c r="Q69" s="405"/>
      <c r="R69" s="405"/>
      <c r="S69" s="405"/>
      <c r="T69" s="405"/>
      <c r="U69" s="405"/>
      <c r="V69" s="405"/>
      <c r="W69" s="405"/>
      <c r="X69" s="405"/>
      <c r="Y69" s="405"/>
      <c r="Z69" s="405"/>
      <c r="AA69" s="405"/>
      <c r="AB69" s="405"/>
      <c r="AC69" s="263"/>
      <c r="AD69" s="263"/>
      <c r="AE69" s="264"/>
      <c r="AF69" s="364">
        <f>SUM(AQ70,AR70)</f>
        <v>0</v>
      </c>
      <c r="AG69" s="365"/>
      <c r="AH69" s="365"/>
      <c r="AI69" s="365"/>
      <c r="AJ69" s="365"/>
      <c r="AK69" s="365"/>
      <c r="AL69" s="365"/>
      <c r="AM69" s="365"/>
      <c r="AN69" s="366"/>
      <c r="AO69" s="1"/>
      <c r="AP69" s="1"/>
      <c r="AQ69" s="6">
        <f>IF( AND(OR(AE25="2006-2007",AE25="2007-2008"),U22&lt;&gt;"Female"),IF( MROUND(AF66,10)&lt;= 100000, 0, IF(AND(MROUND(AF66,10)&gt; 100000,MROUND(AF66,10)&lt;= 150000),  ROUND(ABS(MROUND(AF66,10)- 100000)*0.1,0), IF(AND(MROUND(AF66,10)&gt; 150000, MROUND(AF66,10)&lt;= 250000), ROUND(5000+ ABS(MROUND(AF66,10)- 150000)*0.2,0),IF(MROUND(AF66,10)&gt; 250000,  ROUND(25000+ABS(MROUND(AF66,10)- 250000)*0.3,0),  0)))),IF(AND(OR(AE25="2006-2007",AE25="2007-2008"),U22="Female"),IF(MROUND(AF66,10)&lt;= 135000, 0, IF(AND(MROUND(AF66,10)&gt; 135000, MROUND(AF66,10)&lt;= 150000), ROUND(ABS(MROUND(AF66,10)- 135000)*0.1,0), IF(AND(MROUND(AF66,10)&gt; 150000, MROUND(AF66,10)&lt;= 250000), ROUND(1500+ ABS(MROUND(AF66,10)- 150000)*0.2,0),  IF(MROUND(AF66,10)&gt; 250000, ROUND(21500+ABS(MROUND(AF66,10)- 250000)*0.3,0),0)))),IF(AND(AE25="2008-2009",U22&lt;&gt;"Female"), IF(MROUND(AF66,10)&lt;= 110000,  0,  IF(AND(MROUND(AF66,10)&gt; 110000, MROUND(AF66,10)&lt;= 150000),     ROUND(ABS(MROUND(AF66,10)- 110000)*0.1,0),  IF(AND(MROUND(AF66,10)&gt; 150000, MROUND(AF66,10)&lt;= 250000),  ROUND(4000+ ABS(MROUND(AF66,10)- 150000)*0.2,0),   IF(MROUND(AF66,10)&gt; 250000,   ROUND(24000+ABS(MROUND(AF66,10)- 250000)*0.3,0),0)))),IF(AND(AE25="2008-2009",U22="Female"), IF(MROUND(AF66,10)&lt;= 145000, 0, IF(AND(MROUND(AF66,10)&gt; 145000, MROUND(AF66,10)&lt;= 150000),     ROUND(ABS(MROUND(AF66,10)- 145000)*0.1,0),  IF(AND(MROUND(AF66,10)&gt; 150000, MROUND(AF66,10)&lt;= 250000),  ROUND(500+ ABS(MROUND(AF66,10)- 150000)*0.2,0),  IF(MROUND(AF66,10)&gt; 250000, ROUND(20500+ABS(MROUND(AF66,10)- 250000)*0.3,0),0)))), IF(AND(AE25="2009-2010",U22&lt;&gt;"Female"), IF(MROUND(AF66,10)&lt;= 150000, 0, IF(AND(MROUND(AF66,10)&gt; 150000, MROUND(AF66,10)&lt;= 300000), ROUND(ABS(MROUND(AF66,10)- 150000)*0.1,0), IF(AND(MROUND(AF66,10)&gt; 300000, MROUND(AF66,10)&lt;= 500000),  ROUND(15000+ ABS(MROUND(AF66,10)- 300000)*0.2,0),  IF(MROUND(AF66,10)&gt; 500000,  ROUND(55000+ABS(MROUND(AF66,10)- 500000)*0.3,0),0)))), IF(AND(AE25="2009-2010",U22="Female"), IF(MROUND(AF66,10)&lt;= 180000, 0, IF(AND(MROUND(AF66,10)&gt; 180000, MROUND(AF66,10)&lt;= 300000), ROUND(ABS(MROUND(AF66,10)- 180000)*0.1,0), IF(AND(MROUND(AF66,10)&gt; 300000, MROUND(AF66,10)&lt;= 500000), ROUND(12000+ ABS(MROUND(AF66,10)- 300000)*0.2,0),  IF(MROUND(AF66,10)&gt; 500000,  ROUND(52000+ABS(MROUND(AF66,10)- 500000)*0.3,0),0)))), IF(AND(AE25="2010-2011", U22&lt;&gt;"Female"), IF(MROUND(AF66,10)&lt;= 160000, 0, IF(AND(MROUND(AF66,10)&gt; 160000, MROUND(AF66,10)&lt;= 300000),ROUND(ABS(MROUND(AF66,10)- 160000)*0.1,0), IF(AND(MROUND(AF66,10)&gt; 300000, MROUND(AF66,10)&lt;= 500000),ROUND(14000+ ABS(MROUND(AF66,10)- 300000)*0.2,0),  IF(MROUND(AF66,10)&gt; 500000, ROUND(54000+ABS(MROUND(AF66,10)- 500000)*0.3,0),0)))),IF(AND(AE25="2010-2011",U22="Female"), IF(MROUND(AF66,10)&lt;= 190000, 0, IF(AND(MROUND(AF66,10)&gt; 190000, MROUND(AF66,10)&lt;= 300000),ROUND(ABS(MROUND(AF66,10)- 190000)*0.1,0), IF(AND(MROUND(AF66,10)&gt; 300000, MROUND(AF66,10)&lt;= 500000), ROUND(11000+ ABS(MROUND(AF66,10)- 300000)*0.2,0),IF(MROUND(AF66,10)&gt; 500000,  ROUND(51000+ABS(MROUND(AF66,10)- 500000)*0.3,0),0)))), IF(AND(AE25="2011-2012",U22&lt;&gt;"Female"), IF(MROUND(AF66,10)&lt;= 160000, 0, IF(AND(MROUND(AF66,10)&gt; 160000, MROUND(AF66,10)&lt;= 500000), ROUND(ABS(MROUND(AF66,10)- 160000)*0.1,0), IF(AND(MROUND(AF66,10)&gt; 500000, MROUND(AF66,10)&lt;= 800000), ROUND(34000+ ABS(MROUND(AF66,10)- 500000)*0.2,0),  IF(MROUND(AF66,10)&gt; 800000,  ROUND(94000+ABS(MROUND(AF66,10)- 800000)*0.3,0),0)))), IF(AND(OR(AE25="2011-2012",AE25="2012-2013"),U22="Female"), IF(MROUND(AF66,10)&lt;= 190000, 0, IF(AND(MROUND(AF66,10)&gt; 190000, MROUND(AF66,10)&lt;= 500000), ROUND(ABS(MROUND(AF66,10)- 190000)*0.1,0), IF(AND(MROUND(AF66,10)&gt; 500000, MROUND(AF66,10)&lt;= 800000),  ROUND(31000+ ABS(MROUND(AF66,10)- 500000)*0.2,0),  IF(MROUND(AF66,10)&gt; 800000,  ROUND(91000+ABS(MROUND(AF66,10)- 800000)*0.3,0),0)))), IF(AND(AE25="2012-2013", U22&lt;&gt;"Female"), IF(MROUND(AF66,10)&lt;= 180000, 0, IF(AND(MROUND(AF66,10)&gt; 180000, MROUND(AF66,10)&lt;= 500000), ROUND(ABS(MROUND(AF66,10)- 180000)*0.1,0), IF(AND(MROUND(AF66,10)&gt; 500000, MROUND(AF66,10)&lt;= 800000),  ROUND(32000+ ABS(MROUND(AF66,10)- 500000)*0.2,0),  IF(MROUND(AF66,10)&gt; 800000,  ROUND(92000+ABS(MROUND(AF66,10)- 800000)*0.3,0),0)))), IF(OR(AE25="2013-2014",AE25="2014-2015"), IF(MROUND(AF66,10)&lt;= 200000, 0, IF(AND(MROUND(AF66,10)&gt; 200000, MROUND(AF66,10)&lt;= 500000), ROUND(ABS(MROUND(AF66,10)- 200000)*0.1,0), IF(AND(MROUND(AF66,10)&gt; 500000, MROUND(AF66,10)&lt;= 1000000),  ROUND(30000+ ABS(MROUND(AF66,10)- 500000)*0.2,0),  IF(MROUND(AF66,10)&gt; 1000000,  ROUND(130000+ABS(MROUND(AF66,10)- 1000000)*0.3,0),0)))), IF(OR(AE25="2015-2016", AE25="2016-2017",AE25="2017-2018"), IF(MROUND(AF66,10)&lt;= 250000, 0, IF(AND(MROUND(AF66,10)&gt; 250000, MROUND(AF66,10)&lt;= 500000), ROUND(ABS(MROUND(AF66,10)- 250000)*0.1,0), IF(AND(MROUND(AF66,10)&gt; 500000, MROUND(AF66,10)&lt;= 1000000),  ROUND(25000+ ABS(MROUND(AF66,10)- 500000)*0.2,0),  IF(MROUND(AF66,10)&gt; 1000000,  ROUND(125000+ABS(MROUND(AF66,10)- 1000000)*0.3,0), 0)))), IF(OR(AE25="2018-2019", AE25="2019-2020",AE25="2020-2021",AE25="2021-2022",AE25="2022-2023",AE25="2023-2024",AE25="2024-2025",AE25="2025-2026"), IF(MROUND(AF66,10)&lt;= 250000, 0, IF(AND(MROUND(AF66,10)&gt; 250000, MROUND(AF66,10)&lt;= 500000), ROUND(ABS(MROUND(AF66,10)- 250000)*0.05,0), IF(AND(MROUND(AF66,10)&gt; 500000, MROUND(AF66,10)&lt;= 1000000),  ROUND(12500+ ABS(MROUND(AF66,10)- 500000)*0.2,0),  IF(MROUND(AF66,10)&gt; 1000000,  ROUND(112500+ABS(MROUND(AF66,10)- 1000000)*0.3,0), 0)))),0))))))))))))))</f>
        <v>0</v>
      </c>
      <c r="AR69" s="6">
        <f>IF(OR(AE25="2014-2015",AE25="2015-2016",AE25="2016-2017"),IF(AND(MROUND(AF66,10)&lt;=500000,MROUND(AF66,10)&lt;&gt;0),IF(AQ69&lt;=2000, AQ69,2000),0), IF(AE25="2017-2018",IF(AND(MROUND(AF66,10)&lt;=500000,MROUND(AF66,10)&lt;&gt;0),IF(AQ69&lt;=5000, AQ69,5000),0),IF(OR(AE25="2018-2019",AE25="2019-2020"),IF(AND(MROUND(AF66,10)&lt;=350000,MROUND(AF66,10)&lt;&gt;0),IF(AQ69&lt;=2500, AQ69,2500),0),IF(OR(AE25="2020-2021",AE25="2021-2022",AE25="2022-2023",AE25="2023-2024",AE25="2024-2025",AE25="2025-2026"),IF(AND(MROUND(AF66,10)&lt;=500000,MROUND(AF66,10)&lt;&gt;0),IF(AQ69&lt;=12500, AQ69,12500),0),0))))</f>
        <v>0</v>
      </c>
      <c r="AU69" s="7"/>
    </row>
    <row r="70" spans="2:49" ht="12.75" customHeight="1" x14ac:dyDescent="0.3">
      <c r="B70" s="1"/>
      <c r="C70" s="403"/>
      <c r="D70" s="406"/>
      <c r="E70" s="407"/>
      <c r="F70" s="407"/>
      <c r="G70" s="407"/>
      <c r="H70" s="407"/>
      <c r="I70" s="407"/>
      <c r="J70" s="407"/>
      <c r="K70" s="407"/>
      <c r="L70" s="407"/>
      <c r="M70" s="407"/>
      <c r="N70" s="407"/>
      <c r="O70" s="407"/>
      <c r="P70" s="407"/>
      <c r="Q70" s="407"/>
      <c r="R70" s="407"/>
      <c r="S70" s="407"/>
      <c r="T70" s="407"/>
      <c r="U70" s="407"/>
      <c r="V70" s="407"/>
      <c r="W70" s="407"/>
      <c r="X70" s="407"/>
      <c r="Y70" s="407"/>
      <c r="Z70" s="407"/>
      <c r="AA70" s="407"/>
      <c r="AB70" s="407"/>
      <c r="AC70" s="407"/>
      <c r="AD70" s="407"/>
      <c r="AE70" s="408"/>
      <c r="AF70" s="370"/>
      <c r="AG70" s="371"/>
      <c r="AH70" s="371"/>
      <c r="AI70" s="371"/>
      <c r="AJ70" s="371"/>
      <c r="AK70" s="371"/>
      <c r="AL70" s="371"/>
      <c r="AM70" s="371"/>
      <c r="AN70" s="372"/>
      <c r="AO70" s="1"/>
      <c r="AP70" s="1"/>
      <c r="AQ70" s="6">
        <f>IF((AQ69&lt;AR69),0,ROUND(ABS(AQ69-AR69),0))</f>
        <v>0</v>
      </c>
      <c r="AR70" s="6">
        <f>IF(OR(AE25="2006-2007",AE25="2007-2008"),ROUND(AQ70*0.02,0),IF(OR(AE25="2019-2020",AE25="2020-2021",AE25="2021-2022",AE25="2022-2023",AE25="2023-2024",AE25="2024-2025",AE25="2025-2026"),ROUND(AQ70*0.04,0),ROUND(AQ70*0.03,0)))</f>
        <v>0</v>
      </c>
    </row>
    <row r="71" spans="2:49" ht="10.5" customHeight="1" x14ac:dyDescent="0.3">
      <c r="B71" s="1"/>
      <c r="C71" s="352">
        <v>5</v>
      </c>
      <c r="D71" s="404" t="s">
        <v>65</v>
      </c>
      <c r="E71" s="405"/>
      <c r="F71" s="405"/>
      <c r="G71" s="405"/>
      <c r="H71" s="405"/>
      <c r="I71" s="405"/>
      <c r="J71" s="405"/>
      <c r="K71" s="405"/>
      <c r="L71" s="405"/>
      <c r="M71" s="405"/>
      <c r="N71" s="405"/>
      <c r="O71" s="405"/>
      <c r="P71" s="405"/>
      <c r="Q71" s="405"/>
      <c r="R71" s="405"/>
      <c r="S71" s="405"/>
      <c r="T71" s="405"/>
      <c r="U71" s="405"/>
      <c r="V71" s="405"/>
      <c r="W71" s="405"/>
      <c r="X71" s="405"/>
      <c r="Y71" s="405"/>
      <c r="Z71" s="405"/>
      <c r="AA71" s="405"/>
      <c r="AB71" s="405"/>
      <c r="AC71" s="263"/>
      <c r="AD71" s="263"/>
      <c r="AE71" s="264"/>
      <c r="AF71" s="364">
        <f>SUM(AQ72,AR72)</f>
        <v>0</v>
      </c>
      <c r="AG71" s="365"/>
      <c r="AH71" s="365"/>
      <c r="AI71" s="365"/>
      <c r="AJ71" s="365"/>
      <c r="AK71" s="365"/>
      <c r="AL71" s="365"/>
      <c r="AM71" s="365"/>
      <c r="AN71" s="366"/>
      <c r="AO71" s="1"/>
      <c r="AP71" s="1"/>
      <c r="AQ71" s="6">
        <f>IF(AF62&gt;0,IF( AND(OR(AE25="2006-2007",AE25="2007-2008"),U22&lt;&gt;"Female"),IF( MROUND(AF62,10)&lt;= 100000, 0, IF(AND(MROUND(AF62,10)&gt; 100000,MROUND(AF62,10)&lt;= 150000),  ROUND(ABS(MROUND(AF62,10)- 100000)*0.1,0), IF(AND(MROUND(AF62,10)&gt; 150000, MROUND(AF62,10)&lt;= 250000), ROUND(5000+ ABS(MROUND(AF62,10)- 150000)*0.2,0),IF(MROUND(AF62,10)&gt; 250000,  ROUND(25000+ABS(MROUND(AF62,10)- 250000)*0.3,0),  0)))),IF(AND(OR(AE25="2006-2007",AE25="2007-2008"),U22="Female"),IF(MROUND(AF62,10)&lt;= 135000, 0, IF(AND(MROUND(AF62,10)&gt; 135000, MROUND(AF62,10)&lt;= 150000), ROUND(ABS(MROUND(AF62,10)- 135000)*0.1,0), IF(AND(MROUND(AF62,10)&gt; 150000, MROUND(AF62,10)&lt;= 250000), ROUND(1500+ ABS(MROUND(AF62,10)- 150000)*0.2,0),  IF(MROUND(AF62,10)&gt; 250000, ROUND(21500+ABS(MROUND(AF62,10)- 250000)*0.3,0),0)))),IF(AND(AE25="2008-2009",U22&lt;&gt;"Female"), IF(MROUND(AF62,10)&lt;= 110000,  0,  IF(AND(MROUND(AF62,10)&gt; 110000, MROUND(AF62,10)&lt;= 150000),     ROUND(ABS(MROUND(AF62,10)- 110000)*0.1,0),  IF(AND(MROUND(AF62,10)&gt; 150000, MROUND(AF62,10)&lt;= 250000),  ROUND(4000+ ABS(MROUND(AF62,10)- 150000)*0.2,0),   IF(MROUND(AF62,10)&gt; 250000,   ROUND(24000+ABS(MROUND(AF62,10)- 250000)*0.3,0),0)))),IF(AND(AE25="2008-2009",U22="Female"), IF(MROUND(AF62,10)&lt;= 145000, 0, IF(AND(MROUND(AF62,10)&gt; 145000, MROUND(AF62,10)&lt;= 150000),     ROUND(ABS(MROUND(AF62,10)- 145000)*0.1,0),  IF(AND(MROUND(AF62,10)&gt; 150000, MROUND(AF62,10)&lt;= 250000),  ROUND(500+ ABS(MROUND(AF62,10)- 150000)*0.2,0),  IF(MROUND(AF62,10)&gt; 250000, ROUND(20500+ABS(MROUND(AF62,10)- 250000)*0.3,0),0)))), IF(AND(AE25="2009-2010",U22&lt;&gt;"Female"), IF(MROUND(AF62,10)&lt;= 150000, 0, IF(AND(MROUND(AF62,10)&gt; 150000, MROUND(AF62,10)&lt;= 300000), ROUND(ABS(MROUND(AF62,10)- 150000)*0.1,0), IF(AND(MROUND(AF62,10)&gt; 300000, MROUND(AF62,10)&lt;= 500000),  ROUND(15000+ ABS(MROUND(AF62,10)- 300000)*0.2,0),  IF(MROUND(AF62,10)&gt; 500000,  ROUND(55000+ABS(MROUND(AF62,10)- 500000)*0.3,0),0)))), IF(AND(AE25="2009-2010",U22="Female"), IF(MROUND(AF62,10)&lt;= 180000, 0, IF(AND(MROUND(AF62,10)&gt; 180000, MROUND(AF62,10)&lt;= 300000), ROUND(ABS(MROUND(AF62,10)- 180000)*0.1,0), IF(AND(MROUND(AF62,10)&gt; 300000, MROUND(AF62,10)&lt;= 500000), ROUND(12000+ ABS(MROUND(AF62,10)- 300000)*0.2,0),  IF(MROUND(AF62,10)&gt; 500000,  ROUND(52000+ABS(MROUND(AF62,10)- 500000)*0.3,0),0)))), IF(AND(AE25="2010-2011", U22&lt;&gt;"Female"), IF(MROUND(AF62,10)&lt;= 160000, 0, IF(AND(MROUND(AF62,10)&gt; 160000, MROUND(AF62,10)&lt;= 300000),ROUND(ABS(MROUND(AF62,10)- 160000)*0.1,0), IF(AND(MROUND(AF62,10)&gt; 300000, MROUND(AF62,10)&lt;= 500000),ROUND(14000+ ABS(MROUND(AF62,10)- 300000)*0.2,0),  IF(MROUND(AF62,10)&gt; 500000, ROUND(54000+ABS(MROUND(AF62,10)- 500000)*0.3,0),0)))),IF(AND(AE25="2010-2011",U22="Female"), IF(MROUND(AF62,10)&lt;= 190000, 0, IF(AND(MROUND(AF62,10)&gt; 190000, MROUND(AF62,10)&lt;= 300000),ROUND(ABS(MROUND(AF62,10)- 190000)*0.1,0), IF(AND(MROUND(AF62,10)&gt; 300000, MROUND(AF62,10)&lt;= 500000), ROUND(11000+ ABS(MROUND(AF62,10)- 300000)*0.2,0),IF(MROUND(AF62,10)&gt; 500000,  ROUND(51000+ABS(MROUND(AF62,10)- 500000)*0.3,0),0)))), IF(AND(AE25="2011-2012",U22&lt;&gt;"Female"), IF(MROUND(AF62,10)&lt;= 160000, 0, IF(AND(MROUND(AF62,10)&gt; 160000, MROUND(AF62,10)&lt;= 500000), ROUND(ABS(MROUND(AF62,10)- 160000)*0.1,0), IF(AND(MROUND(AF62,10)&gt; 500000, MROUND(AF62,10)&lt;= 800000), ROUND(34000+ ABS(MROUND(AF62,10)- 500000)*0.2,0),  IF(MROUND(AF62,10)&gt; 800000,  ROUND(94000+ABS(MROUND(AF62,10)- 800000)*0.3,0),0)))), IF(AND(OR(AE25="2011-2012",AE25="2012-2013"),U22="Female"), IF(MROUND(AF62,10)&lt;= 190000, 0, IF(AND(MROUND(AF62,10)&gt; 190000, MROUND(AF62,10)&lt;= 500000), ROUND(ABS(MROUND(AF62,10)- 190000)*0.1,0), IF(AND(MROUND(AF62,10)&gt; 500000, MROUND(AF62,10)&lt;= 800000),  ROUND(31000+ ABS(MROUND(AF62,10)- 500000)*0.2,0),  IF(MROUND(AF62,10)&gt; 800000,  ROUND(91000+ABS(MROUND(AF62,10)- 800000)*0.3,0),0)))), IF(AND(AE25="2012-2013", U22&lt;&gt;"Female"), IF(MROUND(AF62,10)&lt;= 180000, 0, IF(AND(MROUND(AF62,10)&gt; 180000, MROUND(AF62,10)&lt;= 500000), ROUND(ABS(MROUND(AF62,10)- 180000)*0.1,0), IF(AND(MROUND(AF62,10)&gt; 500000, MROUND(AF62,10)&lt;= 800000),  ROUND(32000+ ABS(MROUND(AF62,10)- 500000)*0.2,0),  IF(MROUND(AF62,10)&gt; 800000,  ROUND(92000+ABS(MROUND(AF62,10)- 800000)*0.3,0),0)))), IF(OR(AE25="2013-2014",AE25="2014-2015"), IF(MROUND(AF62,10)&lt;= 200000, 0, IF(AND(MROUND(AF62,10)&gt; 200000, MROUND(AF62,10)&lt;= 500000), ROUND(ABS(MROUND(AF62,10)- 200000)*0.1,0), IF(AND(MROUND(AF62,10)&gt; 500000, MROUND(AF62,10)&lt;= 1000000),  ROUND(30000+ ABS(MROUND(AF62,10)- 500000)*0.2,0),  IF(MROUND(AF62,10)&gt; 1000000,  ROUND(130000+ABS(MROUND(AF62,10)- 1000000)*0.3,0),0)))), IF(OR(AE25="2015-2016", AE25="2016-2017",AE25="2017-2018"), IF(MROUND(AF62,10)&lt;= 250000, 0, IF(AND(MROUND(AF62,10)&gt; 250000, MROUND(AF62,10)&lt;= 500000), ROUND(ABS(MROUND(AF62,10)- 250000)*0.1,0), IF(AND(MROUND(AF62,10)&gt; 500000, MROUND(AF62,10)&lt;= 1000000),  ROUND(25000+ ABS(MROUND(AF62,10)- 500000)*0.2,0),  IF(MROUND(AF62,10)&gt; 1000000,  ROUND(125000+ABS(MROUND(AF62,10)- 1000000)*0.3,0), 0)))),IF(OR(AE25="2018-2019",AE25="2019-2020",AE25="2020-2021",AE25="2021-2022",AE25="2022-2023",AE25="2023-2024",AE25="2024-2025",AE25="2025-2026"), IF(MROUND(AF62,10)&lt;= 250000, 0, IF(AND(MROUND(AF62,10)&gt; 250000, MROUND(AF62,10)&lt;= 500000), ROUND(ABS(MROUND(AF62,10)- 250000)*0.05,0), IF(AND(MROUND(AF62,10)&gt; 500000, MROUND(AF62,10)&lt;= 1000000),  ROUND(12500+ ABS(MROUND(AF62,10)- 500000)*0.2,0),  IF(MROUND(AF62,10)&gt; 1000000,  ROUND(112500+ABS(MROUND(AF62,10)- 1000000)*0.3,0), 0)))),0)))))))))))))),0)</f>
        <v>0</v>
      </c>
      <c r="AR71" s="6">
        <f>IF(AF62&gt;0,IF(OR(AE25="2014-2015",AE25="2015-2016",AE25="2016-2017"),IF(AND(MROUND(AF62,10)&lt;=500000,MROUND(AF62,10)&lt;&gt;0),IF(AQ71&lt;=2000, AQ71,2000),0), IF(AE25="2017-2018",IF(AND(MROUND(AF62,10)&lt;=500000,MROUND(AF62,10)&lt;&gt;0),IF(AQ71&lt;=5000, AQ71,5000),0),IF(OR(AE25="2018-2019",AE25="2019-2020"),IF(AND(MROUND(AF62,10)&lt;=350000,MROUND(AF62,10)&lt;&gt;0),IF(AQ71&lt;=2500, AQ71,2500),0),IF(OR(AE25="2020-2021",AE25="2021-2022",AE25="2022-2023",AE25="2023-2024",AE25="2024-2025",AE25="2025-2026"),IF(AND(MROUND(AF62,10)&lt;=500000,MROUND(AF62,10)&lt;&gt;0),IF(AQ71&lt;=12500, AQ71,12500),0),0)))),0)</f>
        <v>0</v>
      </c>
    </row>
    <row r="72" spans="2:49" ht="12.75" customHeight="1" x14ac:dyDescent="0.3">
      <c r="B72" s="1"/>
      <c r="C72" s="403"/>
      <c r="D72" s="406"/>
      <c r="E72" s="407"/>
      <c r="F72" s="407"/>
      <c r="G72" s="407"/>
      <c r="H72" s="407"/>
      <c r="I72" s="407"/>
      <c r="J72" s="407"/>
      <c r="K72" s="407"/>
      <c r="L72" s="407"/>
      <c r="M72" s="407"/>
      <c r="N72" s="407"/>
      <c r="O72" s="407"/>
      <c r="P72" s="407"/>
      <c r="Q72" s="407"/>
      <c r="R72" s="407"/>
      <c r="S72" s="407"/>
      <c r="T72" s="407"/>
      <c r="U72" s="407"/>
      <c r="V72" s="407"/>
      <c r="W72" s="407"/>
      <c r="X72" s="407"/>
      <c r="Y72" s="407"/>
      <c r="Z72" s="407"/>
      <c r="AA72" s="407"/>
      <c r="AB72" s="407"/>
      <c r="AC72" s="407"/>
      <c r="AD72" s="407"/>
      <c r="AE72" s="408"/>
      <c r="AF72" s="370"/>
      <c r="AG72" s="371"/>
      <c r="AH72" s="371"/>
      <c r="AI72" s="371"/>
      <c r="AJ72" s="371"/>
      <c r="AK72" s="371"/>
      <c r="AL72" s="371"/>
      <c r="AM72" s="371"/>
      <c r="AN72" s="372"/>
      <c r="AO72" s="1"/>
      <c r="AP72" s="1"/>
      <c r="AQ72" s="6">
        <f>IF((AQ71&lt;AR71),0,ROUND(ABS(AQ71-AR71),0))</f>
        <v>0</v>
      </c>
      <c r="AR72" s="6">
        <f>IF(OR(AE25="2006-2007",AE25="2007-2008"),ROUND(AQ72*0.02,0),IF(OR(AE25="2019-2020",AE25="2020-2021",AE25="2021-2022",AE25="2022-2023",AE25="2023-2024",AE25="2024-2025",AE25="2025-2026"),ROUND(AQ72*0.04,0),ROUND(AQ72*0.03,0)))</f>
        <v>0</v>
      </c>
    </row>
    <row r="73" spans="2:49" ht="10.5" customHeight="1" x14ac:dyDescent="0.3">
      <c r="B73" s="1"/>
      <c r="C73" s="352">
        <v>6</v>
      </c>
      <c r="D73" s="355" t="s">
        <v>66</v>
      </c>
      <c r="E73" s="356"/>
      <c r="F73" s="356"/>
      <c r="G73" s="356"/>
      <c r="H73" s="356"/>
      <c r="I73" s="356"/>
      <c r="J73" s="356"/>
      <c r="K73" s="356"/>
      <c r="L73" s="356"/>
      <c r="M73" s="356"/>
      <c r="N73" s="356"/>
      <c r="O73" s="356"/>
      <c r="P73" s="356"/>
      <c r="Q73" s="356"/>
      <c r="R73" s="356"/>
      <c r="S73" s="356"/>
      <c r="T73" s="356"/>
      <c r="U73" s="356"/>
      <c r="V73" s="356"/>
      <c r="W73" s="356"/>
      <c r="X73" s="356"/>
      <c r="Y73" s="356"/>
      <c r="Z73" s="356"/>
      <c r="AA73" s="356"/>
      <c r="AB73" s="356"/>
      <c r="AC73" s="357"/>
      <c r="AD73" s="357"/>
      <c r="AE73" s="358"/>
      <c r="AF73" s="364">
        <f>ABS(AF69-AF71)</f>
        <v>0</v>
      </c>
      <c r="AG73" s="365"/>
      <c r="AH73" s="365"/>
      <c r="AI73" s="365"/>
      <c r="AJ73" s="365"/>
      <c r="AK73" s="365"/>
      <c r="AL73" s="365"/>
      <c r="AM73" s="365"/>
      <c r="AN73" s="366"/>
      <c r="AO73" s="1"/>
      <c r="AP73" s="1"/>
    </row>
    <row r="74" spans="2:49" x14ac:dyDescent="0.3">
      <c r="B74" s="1"/>
      <c r="C74" s="353"/>
      <c r="D74" s="359"/>
      <c r="E74" s="132"/>
      <c r="F74" s="132"/>
      <c r="G74" s="132"/>
      <c r="H74" s="132"/>
      <c r="I74" s="132"/>
      <c r="J74" s="132"/>
      <c r="K74" s="132"/>
      <c r="L74" s="132"/>
      <c r="M74" s="132"/>
      <c r="N74" s="132"/>
      <c r="O74" s="132"/>
      <c r="P74" s="132"/>
      <c r="Q74" s="132"/>
      <c r="R74" s="132"/>
      <c r="S74" s="132"/>
      <c r="T74" s="132"/>
      <c r="U74" s="132"/>
      <c r="V74" s="132"/>
      <c r="W74" s="132"/>
      <c r="X74" s="132"/>
      <c r="Y74" s="132"/>
      <c r="Z74" s="132"/>
      <c r="AA74" s="132"/>
      <c r="AB74" s="132"/>
      <c r="AC74" s="132"/>
      <c r="AD74" s="132"/>
      <c r="AE74" s="360"/>
      <c r="AF74" s="367"/>
      <c r="AG74" s="368"/>
      <c r="AH74" s="368"/>
      <c r="AI74" s="368"/>
      <c r="AJ74" s="368"/>
      <c r="AK74" s="368"/>
      <c r="AL74" s="368"/>
      <c r="AM74" s="368"/>
      <c r="AN74" s="369"/>
      <c r="AO74" s="1"/>
      <c r="AP74" s="1"/>
    </row>
    <row r="75" spans="2:49" ht="11.25" customHeight="1" x14ac:dyDescent="0.3">
      <c r="B75" s="1"/>
      <c r="C75" s="354"/>
      <c r="D75" s="361"/>
      <c r="E75" s="362"/>
      <c r="F75" s="362"/>
      <c r="G75" s="362"/>
      <c r="H75" s="362"/>
      <c r="I75" s="362"/>
      <c r="J75" s="362"/>
      <c r="K75" s="362"/>
      <c r="L75" s="362"/>
      <c r="M75" s="362"/>
      <c r="N75" s="362"/>
      <c r="O75" s="362"/>
      <c r="P75" s="362"/>
      <c r="Q75" s="362"/>
      <c r="R75" s="362"/>
      <c r="S75" s="362"/>
      <c r="T75" s="362"/>
      <c r="U75" s="362"/>
      <c r="V75" s="362"/>
      <c r="W75" s="362"/>
      <c r="X75" s="362"/>
      <c r="Y75" s="362"/>
      <c r="Z75" s="362"/>
      <c r="AA75" s="362"/>
      <c r="AB75" s="362"/>
      <c r="AC75" s="362"/>
      <c r="AD75" s="362"/>
      <c r="AE75" s="363"/>
      <c r="AF75" s="370"/>
      <c r="AG75" s="371"/>
      <c r="AH75" s="371"/>
      <c r="AI75" s="371"/>
      <c r="AJ75" s="371"/>
      <c r="AK75" s="371"/>
      <c r="AL75" s="371"/>
      <c r="AM75" s="371"/>
      <c r="AN75" s="372"/>
      <c r="AO75" s="1"/>
      <c r="AP75" s="1"/>
    </row>
    <row r="76" spans="2:49" ht="9" customHeight="1" x14ac:dyDescent="0.3">
      <c r="B76" s="1"/>
      <c r="C76" s="352">
        <v>7</v>
      </c>
      <c r="D76" s="355" t="s">
        <v>67</v>
      </c>
      <c r="E76" s="356"/>
      <c r="F76" s="356"/>
      <c r="G76" s="356"/>
      <c r="H76" s="356"/>
      <c r="I76" s="356"/>
      <c r="J76" s="356"/>
      <c r="K76" s="356"/>
      <c r="L76" s="356"/>
      <c r="M76" s="356"/>
      <c r="N76" s="356"/>
      <c r="O76" s="356"/>
      <c r="P76" s="356"/>
      <c r="Q76" s="356"/>
      <c r="R76" s="356"/>
      <c r="S76" s="356"/>
      <c r="T76" s="356"/>
      <c r="U76" s="356"/>
      <c r="V76" s="356"/>
      <c r="W76" s="356"/>
      <c r="X76" s="356"/>
      <c r="Y76" s="356"/>
      <c r="Z76" s="356"/>
      <c r="AA76" s="356"/>
      <c r="AB76" s="356"/>
      <c r="AC76" s="357"/>
      <c r="AD76" s="357"/>
      <c r="AE76" s="358"/>
      <c r="AF76" s="364">
        <f>AK102</f>
        <v>0</v>
      </c>
      <c r="AG76" s="365"/>
      <c r="AH76" s="365"/>
      <c r="AI76" s="365"/>
      <c r="AJ76" s="365"/>
      <c r="AK76" s="365"/>
      <c r="AL76" s="365"/>
      <c r="AM76" s="365"/>
      <c r="AN76" s="366"/>
      <c r="AO76" s="1"/>
      <c r="AP76" s="1"/>
    </row>
    <row r="77" spans="2:49" x14ac:dyDescent="0.3">
      <c r="B77" s="1"/>
      <c r="C77" s="353"/>
      <c r="D77" s="359"/>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32"/>
      <c r="AD77" s="132"/>
      <c r="AE77" s="360"/>
      <c r="AF77" s="367"/>
      <c r="AG77" s="368"/>
      <c r="AH77" s="368"/>
      <c r="AI77" s="368"/>
      <c r="AJ77" s="368"/>
      <c r="AK77" s="368"/>
      <c r="AL77" s="368"/>
      <c r="AM77" s="368"/>
      <c r="AN77" s="369"/>
      <c r="AO77" s="1"/>
      <c r="AP77" s="1"/>
    </row>
    <row r="78" spans="2:49" ht="12" customHeight="1" x14ac:dyDescent="0.3">
      <c r="B78" s="1"/>
      <c r="C78" s="354"/>
      <c r="D78" s="361"/>
      <c r="E78" s="362"/>
      <c r="F78" s="362"/>
      <c r="G78" s="362"/>
      <c r="H78" s="362"/>
      <c r="I78" s="362"/>
      <c r="J78" s="362"/>
      <c r="K78" s="362"/>
      <c r="L78" s="362"/>
      <c r="M78" s="362"/>
      <c r="N78" s="362"/>
      <c r="O78" s="362"/>
      <c r="P78" s="362"/>
      <c r="Q78" s="362"/>
      <c r="R78" s="362"/>
      <c r="S78" s="362"/>
      <c r="T78" s="362"/>
      <c r="U78" s="362"/>
      <c r="V78" s="362"/>
      <c r="W78" s="362"/>
      <c r="X78" s="362"/>
      <c r="Y78" s="362"/>
      <c r="Z78" s="362"/>
      <c r="AA78" s="362"/>
      <c r="AB78" s="362"/>
      <c r="AC78" s="362"/>
      <c r="AD78" s="362"/>
      <c r="AE78" s="363"/>
      <c r="AF78" s="370"/>
      <c r="AG78" s="371"/>
      <c r="AH78" s="371"/>
      <c r="AI78" s="371"/>
      <c r="AJ78" s="371"/>
      <c r="AK78" s="371"/>
      <c r="AL78" s="371"/>
      <c r="AM78" s="371"/>
      <c r="AN78" s="372"/>
      <c r="AO78" s="1"/>
      <c r="AP78" s="1"/>
    </row>
    <row r="79" spans="2:49" x14ac:dyDescent="0.3">
      <c r="B79" s="1"/>
      <c r="C79" s="352">
        <v>8</v>
      </c>
      <c r="D79" s="355" t="s">
        <v>82</v>
      </c>
      <c r="E79" s="356"/>
      <c r="F79" s="356"/>
      <c r="G79" s="356"/>
      <c r="H79" s="356"/>
      <c r="I79" s="356"/>
      <c r="J79" s="356"/>
      <c r="K79" s="356"/>
      <c r="L79" s="356"/>
      <c r="M79" s="356"/>
      <c r="N79" s="356"/>
      <c r="O79" s="356"/>
      <c r="P79" s="356"/>
      <c r="Q79" s="356"/>
      <c r="R79" s="356"/>
      <c r="S79" s="356"/>
      <c r="T79" s="356"/>
      <c r="U79" s="356"/>
      <c r="V79" s="356"/>
      <c r="W79" s="356"/>
      <c r="X79" s="356"/>
      <c r="Y79" s="356"/>
      <c r="Z79" s="356"/>
      <c r="AA79" s="356"/>
      <c r="AB79" s="356"/>
      <c r="AC79" s="357"/>
      <c r="AD79" s="357"/>
      <c r="AE79" s="358"/>
      <c r="AF79" s="364">
        <f>IF(AND(AF27=M102,AF73&gt;AF76),ABS(AF73-AF76),0)</f>
        <v>0</v>
      </c>
      <c r="AG79" s="365"/>
      <c r="AH79" s="365"/>
      <c r="AI79" s="365"/>
      <c r="AJ79" s="365"/>
      <c r="AK79" s="365"/>
      <c r="AL79" s="365"/>
      <c r="AM79" s="365"/>
      <c r="AN79" s="366"/>
      <c r="AO79" s="1"/>
      <c r="AP79" s="1"/>
      <c r="AQ79" s="478" t="str">
        <f>IF(AND(M102=0,AF27=0),"",IF(AND(ISNUMBER(M102),OR(ISBLANK(AF27),AF27=0)),"Please enter the amount of Salary received as arrears in the cell 1(a) at the beginning of the sheet. ",IF(AF27&lt;&gt;M102,"The sum of the amounts of salary arrears distributed over different years in Table A does not match the amount entered as salary received in arrears in cell 1(a) at the beginning of the sheet.",IF(AND(AF27=M102,AF76&gt;AF73),"You are not eligible for relief u/s 89(1), since the tax computed in accordance with Table A is greater than the tax on salary received in arrears or advance.",""))))</f>
        <v/>
      </c>
      <c r="AR79" s="478"/>
      <c r="AS79" s="478"/>
      <c r="AT79" s="478"/>
      <c r="AU79" s="478"/>
      <c r="AV79" s="478"/>
      <c r="AW79" s="132"/>
    </row>
    <row r="80" spans="2:49" x14ac:dyDescent="0.3">
      <c r="B80" s="1"/>
      <c r="C80" s="353"/>
      <c r="D80" s="359"/>
      <c r="E80" s="132"/>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32"/>
      <c r="AD80" s="132"/>
      <c r="AE80" s="360"/>
      <c r="AF80" s="367"/>
      <c r="AG80" s="368"/>
      <c r="AH80" s="368"/>
      <c r="AI80" s="368"/>
      <c r="AJ80" s="368"/>
      <c r="AK80" s="368"/>
      <c r="AL80" s="368"/>
      <c r="AM80" s="368"/>
      <c r="AN80" s="369"/>
      <c r="AO80" s="39"/>
      <c r="AP80" s="40"/>
      <c r="AQ80" s="478"/>
      <c r="AR80" s="478"/>
      <c r="AS80" s="478"/>
      <c r="AT80" s="478"/>
      <c r="AU80" s="478"/>
      <c r="AV80" s="478"/>
      <c r="AW80" s="132"/>
    </row>
    <row r="81" spans="2:53" x14ac:dyDescent="0.3">
      <c r="B81" s="1"/>
      <c r="C81" s="354"/>
      <c r="D81" s="361"/>
      <c r="E81" s="362"/>
      <c r="F81" s="362"/>
      <c r="G81" s="362"/>
      <c r="H81" s="362"/>
      <c r="I81" s="362"/>
      <c r="J81" s="362"/>
      <c r="K81" s="362"/>
      <c r="L81" s="362"/>
      <c r="M81" s="362"/>
      <c r="N81" s="362"/>
      <c r="O81" s="362"/>
      <c r="P81" s="362"/>
      <c r="Q81" s="362"/>
      <c r="R81" s="362"/>
      <c r="S81" s="362"/>
      <c r="T81" s="362"/>
      <c r="U81" s="362"/>
      <c r="V81" s="362"/>
      <c r="W81" s="362"/>
      <c r="X81" s="362"/>
      <c r="Y81" s="362"/>
      <c r="Z81" s="362"/>
      <c r="AA81" s="362"/>
      <c r="AB81" s="362"/>
      <c r="AC81" s="362"/>
      <c r="AD81" s="362"/>
      <c r="AE81" s="363"/>
      <c r="AF81" s="370"/>
      <c r="AG81" s="371"/>
      <c r="AH81" s="371"/>
      <c r="AI81" s="371"/>
      <c r="AJ81" s="371"/>
      <c r="AK81" s="371"/>
      <c r="AL81" s="371"/>
      <c r="AM81" s="371"/>
      <c r="AN81" s="372"/>
      <c r="AO81" s="41"/>
      <c r="AP81" s="40"/>
      <c r="AQ81" s="478"/>
      <c r="AR81" s="478"/>
      <c r="AS81" s="478"/>
      <c r="AT81" s="478"/>
      <c r="AU81" s="478"/>
      <c r="AV81" s="478"/>
      <c r="AW81" s="132"/>
    </row>
    <row r="82" spans="2:53" ht="6" customHeight="1" x14ac:dyDescent="0.3">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row>
    <row r="83" spans="2:53" x14ac:dyDescent="0.3">
      <c r="B83" s="1"/>
      <c r="C83" s="1"/>
      <c r="D83" s="1"/>
      <c r="E83" s="1"/>
      <c r="F83" s="1"/>
      <c r="G83" s="1"/>
      <c r="H83" s="1"/>
      <c r="I83" s="1"/>
      <c r="J83" s="1"/>
      <c r="K83" s="1"/>
      <c r="L83" s="1"/>
      <c r="M83" s="1"/>
      <c r="N83" s="1"/>
      <c r="O83" s="1"/>
      <c r="P83" s="1"/>
      <c r="Q83" s="373" t="s">
        <v>68</v>
      </c>
      <c r="R83" s="373"/>
      <c r="S83" s="373"/>
      <c r="T83" s="373"/>
      <c r="U83" s="373"/>
      <c r="V83" s="373"/>
      <c r="W83" s="373"/>
      <c r="X83" s="373"/>
      <c r="Y83" s="1"/>
      <c r="Z83" s="78" t="s">
        <v>170</v>
      </c>
      <c r="AA83" s="1"/>
      <c r="AB83" s="1"/>
      <c r="AC83" s="1"/>
      <c r="AD83" s="1"/>
      <c r="AE83" s="1"/>
      <c r="AF83" s="1"/>
      <c r="AG83" s="1"/>
      <c r="AH83" s="1"/>
      <c r="AI83" s="1"/>
      <c r="AJ83" s="1"/>
      <c r="AK83" s="1"/>
      <c r="AL83" s="1"/>
      <c r="AM83" s="1"/>
      <c r="AN83" s="1"/>
      <c r="AO83" s="1"/>
      <c r="AP83" s="1"/>
    </row>
    <row r="84" spans="2:53" x14ac:dyDescent="0.3">
      <c r="B84" s="1"/>
      <c r="C84" s="1"/>
      <c r="D84" s="1"/>
      <c r="E84" s="1"/>
      <c r="F84" s="1"/>
      <c r="G84" s="1"/>
      <c r="H84" s="1"/>
      <c r="I84" s="1"/>
      <c r="J84" s="1"/>
      <c r="K84" s="1"/>
      <c r="L84" s="1"/>
      <c r="M84" s="1"/>
      <c r="N84" s="1"/>
      <c r="O84" s="374" t="s">
        <v>69</v>
      </c>
      <c r="P84" s="374"/>
      <c r="Q84" s="374"/>
      <c r="R84" s="374"/>
      <c r="S84" s="374"/>
      <c r="T84" s="374"/>
      <c r="U84" s="374"/>
      <c r="V84" s="374"/>
      <c r="W84" s="374"/>
      <c r="X84" s="374"/>
      <c r="Y84" s="374"/>
      <c r="Z84" s="374"/>
      <c r="AA84" s="374"/>
      <c r="AB84" s="1"/>
      <c r="AC84" s="1"/>
      <c r="AD84" s="1"/>
      <c r="AE84" s="1"/>
      <c r="AF84" s="1"/>
      <c r="AG84" s="1"/>
      <c r="AH84" s="1"/>
      <c r="AI84" s="1"/>
      <c r="AJ84" s="1"/>
      <c r="AK84" s="1"/>
      <c r="AL84" s="1"/>
      <c r="AM84" s="1"/>
      <c r="AN84" s="1"/>
      <c r="AO84" s="1"/>
      <c r="AP84" s="1"/>
    </row>
    <row r="85" spans="2:53" ht="15" customHeight="1" x14ac:dyDescent="0.3">
      <c r="B85" s="375" t="s">
        <v>70</v>
      </c>
      <c r="C85" s="376"/>
      <c r="D85" s="376"/>
      <c r="E85" s="376"/>
      <c r="F85" s="377"/>
      <c r="G85" s="375" t="s">
        <v>71</v>
      </c>
      <c r="H85" s="384"/>
      <c r="I85" s="384"/>
      <c r="J85" s="384"/>
      <c r="K85" s="384"/>
      <c r="L85" s="385"/>
      <c r="M85" s="392" t="s">
        <v>83</v>
      </c>
      <c r="N85" s="393"/>
      <c r="O85" s="393"/>
      <c r="P85" s="393"/>
      <c r="Q85" s="393"/>
      <c r="R85" s="394"/>
      <c r="S85" s="375" t="s">
        <v>84</v>
      </c>
      <c r="T85" s="384"/>
      <c r="U85" s="384"/>
      <c r="V85" s="384"/>
      <c r="W85" s="384"/>
      <c r="X85" s="385"/>
      <c r="Y85" s="375" t="s">
        <v>72</v>
      </c>
      <c r="Z85" s="384"/>
      <c r="AA85" s="384"/>
      <c r="AB85" s="384"/>
      <c r="AC85" s="384"/>
      <c r="AD85" s="385"/>
      <c r="AE85" s="401" t="s">
        <v>73</v>
      </c>
      <c r="AF85" s="384"/>
      <c r="AG85" s="384"/>
      <c r="AH85" s="384"/>
      <c r="AI85" s="384"/>
      <c r="AJ85" s="385"/>
      <c r="AK85" s="402" t="s">
        <v>74</v>
      </c>
      <c r="AL85" s="384"/>
      <c r="AM85" s="384"/>
      <c r="AN85" s="384"/>
      <c r="AO85" s="384"/>
      <c r="AP85" s="385"/>
    </row>
    <row r="86" spans="2:53" x14ac:dyDescent="0.3">
      <c r="B86" s="378"/>
      <c r="C86" s="379"/>
      <c r="D86" s="379"/>
      <c r="E86" s="379"/>
      <c r="F86" s="380"/>
      <c r="G86" s="386"/>
      <c r="H86" s="387"/>
      <c r="I86" s="387"/>
      <c r="J86" s="387"/>
      <c r="K86" s="387"/>
      <c r="L86" s="388"/>
      <c r="M86" s="395"/>
      <c r="N86" s="396"/>
      <c r="O86" s="396"/>
      <c r="P86" s="396"/>
      <c r="Q86" s="396"/>
      <c r="R86" s="397"/>
      <c r="S86" s="386"/>
      <c r="T86" s="387"/>
      <c r="U86" s="387"/>
      <c r="V86" s="387"/>
      <c r="W86" s="387"/>
      <c r="X86" s="388"/>
      <c r="Y86" s="386"/>
      <c r="Z86" s="387"/>
      <c r="AA86" s="387"/>
      <c r="AB86" s="387"/>
      <c r="AC86" s="387"/>
      <c r="AD86" s="388"/>
      <c r="AE86" s="386"/>
      <c r="AF86" s="387"/>
      <c r="AG86" s="387"/>
      <c r="AH86" s="387"/>
      <c r="AI86" s="387"/>
      <c r="AJ86" s="388"/>
      <c r="AK86" s="386"/>
      <c r="AL86" s="387"/>
      <c r="AM86" s="387"/>
      <c r="AN86" s="387"/>
      <c r="AO86" s="387"/>
      <c r="AP86" s="388"/>
    </row>
    <row r="87" spans="2:53" x14ac:dyDescent="0.3">
      <c r="B87" s="378"/>
      <c r="C87" s="379"/>
      <c r="D87" s="379"/>
      <c r="E87" s="379"/>
      <c r="F87" s="380"/>
      <c r="G87" s="386"/>
      <c r="H87" s="387"/>
      <c r="I87" s="387"/>
      <c r="J87" s="387"/>
      <c r="K87" s="387"/>
      <c r="L87" s="388"/>
      <c r="M87" s="395"/>
      <c r="N87" s="396"/>
      <c r="O87" s="396"/>
      <c r="P87" s="396"/>
      <c r="Q87" s="396"/>
      <c r="R87" s="397"/>
      <c r="S87" s="386"/>
      <c r="T87" s="387"/>
      <c r="U87" s="387"/>
      <c r="V87" s="387"/>
      <c r="W87" s="387"/>
      <c r="X87" s="388"/>
      <c r="Y87" s="386"/>
      <c r="Z87" s="387"/>
      <c r="AA87" s="387"/>
      <c r="AB87" s="387"/>
      <c r="AC87" s="387"/>
      <c r="AD87" s="388"/>
      <c r="AE87" s="386"/>
      <c r="AF87" s="387"/>
      <c r="AG87" s="387"/>
      <c r="AH87" s="387"/>
      <c r="AI87" s="387"/>
      <c r="AJ87" s="388"/>
      <c r="AK87" s="386"/>
      <c r="AL87" s="387"/>
      <c r="AM87" s="387"/>
      <c r="AN87" s="387"/>
      <c r="AO87" s="387"/>
      <c r="AP87" s="388"/>
    </row>
    <row r="88" spans="2:53" x14ac:dyDescent="0.3">
      <c r="B88" s="378"/>
      <c r="C88" s="379"/>
      <c r="D88" s="379"/>
      <c r="E88" s="379"/>
      <c r="F88" s="380"/>
      <c r="G88" s="386"/>
      <c r="H88" s="387"/>
      <c r="I88" s="387"/>
      <c r="J88" s="387"/>
      <c r="K88" s="387"/>
      <c r="L88" s="388"/>
      <c r="M88" s="395"/>
      <c r="N88" s="396"/>
      <c r="O88" s="396"/>
      <c r="P88" s="396"/>
      <c r="Q88" s="396"/>
      <c r="R88" s="397"/>
      <c r="S88" s="386"/>
      <c r="T88" s="387"/>
      <c r="U88" s="387"/>
      <c r="V88" s="387"/>
      <c r="W88" s="387"/>
      <c r="X88" s="388"/>
      <c r="Y88" s="386"/>
      <c r="Z88" s="387"/>
      <c r="AA88" s="387"/>
      <c r="AB88" s="387"/>
      <c r="AC88" s="387"/>
      <c r="AD88" s="388"/>
      <c r="AE88" s="386"/>
      <c r="AF88" s="387"/>
      <c r="AG88" s="387"/>
      <c r="AH88" s="387"/>
      <c r="AI88" s="387"/>
      <c r="AJ88" s="388"/>
      <c r="AK88" s="386"/>
      <c r="AL88" s="387"/>
      <c r="AM88" s="387"/>
      <c r="AN88" s="387"/>
      <c r="AO88" s="387"/>
      <c r="AP88" s="388"/>
    </row>
    <row r="89" spans="2:53" x14ac:dyDescent="0.3">
      <c r="B89" s="378"/>
      <c r="C89" s="379"/>
      <c r="D89" s="379"/>
      <c r="E89" s="379"/>
      <c r="F89" s="380"/>
      <c r="G89" s="386"/>
      <c r="H89" s="387"/>
      <c r="I89" s="387"/>
      <c r="J89" s="387"/>
      <c r="K89" s="387"/>
      <c r="L89" s="388"/>
      <c r="M89" s="395"/>
      <c r="N89" s="396"/>
      <c r="O89" s="396"/>
      <c r="P89" s="396"/>
      <c r="Q89" s="396"/>
      <c r="R89" s="397"/>
      <c r="S89" s="386"/>
      <c r="T89" s="387"/>
      <c r="U89" s="387"/>
      <c r="V89" s="387"/>
      <c r="W89" s="387"/>
      <c r="X89" s="388"/>
      <c r="Y89" s="386"/>
      <c r="Z89" s="387"/>
      <c r="AA89" s="387"/>
      <c r="AB89" s="387"/>
      <c r="AC89" s="387"/>
      <c r="AD89" s="388"/>
      <c r="AE89" s="386"/>
      <c r="AF89" s="387"/>
      <c r="AG89" s="387"/>
      <c r="AH89" s="387"/>
      <c r="AI89" s="387"/>
      <c r="AJ89" s="388"/>
      <c r="AK89" s="386"/>
      <c r="AL89" s="387"/>
      <c r="AM89" s="387"/>
      <c r="AN89" s="387"/>
      <c r="AO89" s="387"/>
      <c r="AP89" s="388"/>
    </row>
    <row r="90" spans="2:53" ht="105" customHeight="1" x14ac:dyDescent="0.3">
      <c r="B90" s="381"/>
      <c r="C90" s="382"/>
      <c r="D90" s="382"/>
      <c r="E90" s="382"/>
      <c r="F90" s="383"/>
      <c r="G90" s="389"/>
      <c r="H90" s="390"/>
      <c r="I90" s="390"/>
      <c r="J90" s="390"/>
      <c r="K90" s="390"/>
      <c r="L90" s="391"/>
      <c r="M90" s="398"/>
      <c r="N90" s="399"/>
      <c r="O90" s="399"/>
      <c r="P90" s="399"/>
      <c r="Q90" s="399"/>
      <c r="R90" s="400"/>
      <c r="S90" s="389"/>
      <c r="T90" s="390"/>
      <c r="U90" s="390"/>
      <c r="V90" s="390"/>
      <c r="W90" s="390"/>
      <c r="X90" s="391"/>
      <c r="Y90" s="389"/>
      <c r="Z90" s="390"/>
      <c r="AA90" s="390"/>
      <c r="AB90" s="390"/>
      <c r="AC90" s="390"/>
      <c r="AD90" s="391"/>
      <c r="AE90" s="389"/>
      <c r="AF90" s="390"/>
      <c r="AG90" s="390"/>
      <c r="AH90" s="390"/>
      <c r="AI90" s="390"/>
      <c r="AJ90" s="391"/>
      <c r="AK90" s="389"/>
      <c r="AL90" s="390"/>
      <c r="AM90" s="390"/>
      <c r="AN90" s="390"/>
      <c r="AO90" s="390"/>
      <c r="AP90" s="391"/>
    </row>
    <row r="91" spans="2:53" x14ac:dyDescent="0.3">
      <c r="B91" s="348">
        <v>1</v>
      </c>
      <c r="C91" s="227"/>
      <c r="D91" s="227"/>
      <c r="E91" s="227"/>
      <c r="F91" s="255"/>
      <c r="G91" s="348">
        <v>2</v>
      </c>
      <c r="H91" s="227"/>
      <c r="I91" s="227"/>
      <c r="J91" s="227"/>
      <c r="K91" s="227"/>
      <c r="L91" s="255"/>
      <c r="M91" s="348">
        <v>3</v>
      </c>
      <c r="N91" s="227"/>
      <c r="O91" s="227"/>
      <c r="P91" s="227"/>
      <c r="Q91" s="227"/>
      <c r="R91" s="255"/>
      <c r="S91" s="348">
        <v>4</v>
      </c>
      <c r="T91" s="349"/>
      <c r="U91" s="349"/>
      <c r="V91" s="349"/>
      <c r="W91" s="349"/>
      <c r="X91" s="350"/>
      <c r="Y91" s="348">
        <v>5</v>
      </c>
      <c r="Z91" s="227"/>
      <c r="AA91" s="227"/>
      <c r="AB91" s="227"/>
      <c r="AC91" s="227"/>
      <c r="AD91" s="255"/>
      <c r="AE91" s="348">
        <v>6</v>
      </c>
      <c r="AF91" s="349"/>
      <c r="AG91" s="349"/>
      <c r="AH91" s="349"/>
      <c r="AI91" s="349"/>
      <c r="AJ91" s="255"/>
      <c r="AK91" s="351">
        <v>7</v>
      </c>
      <c r="AL91" s="227"/>
      <c r="AM91" s="227"/>
      <c r="AN91" s="227"/>
      <c r="AO91" s="227"/>
      <c r="AP91" s="255"/>
    </row>
    <row r="92" spans="2:53" x14ac:dyDescent="0.3">
      <c r="B92" s="342"/>
      <c r="C92" s="343"/>
      <c r="D92" s="343"/>
      <c r="E92" s="343"/>
      <c r="F92" s="344"/>
      <c r="G92" s="345"/>
      <c r="H92" s="346"/>
      <c r="I92" s="346"/>
      <c r="J92" s="346"/>
      <c r="K92" s="346"/>
      <c r="L92" s="347"/>
      <c r="M92" s="345"/>
      <c r="N92" s="346"/>
      <c r="O92" s="346"/>
      <c r="P92" s="346"/>
      <c r="Q92" s="346"/>
      <c r="R92" s="347"/>
      <c r="S92" s="335">
        <f>SUM(G92,M92)</f>
        <v>0</v>
      </c>
      <c r="T92" s="336"/>
      <c r="U92" s="336"/>
      <c r="V92" s="336"/>
      <c r="W92" s="336"/>
      <c r="X92" s="337"/>
      <c r="Y92" s="335">
        <f>MROUND(SUM(AV92,AW92),10)</f>
        <v>0</v>
      </c>
      <c r="Z92" s="336"/>
      <c r="AA92" s="336"/>
      <c r="AB92" s="336"/>
      <c r="AC92" s="336"/>
      <c r="AD92" s="337"/>
      <c r="AE92" s="335">
        <f>SUM(AZ92,BA92)</f>
        <v>0</v>
      </c>
      <c r="AF92" s="336"/>
      <c r="AG92" s="336"/>
      <c r="AH92" s="336"/>
      <c r="AI92" s="336"/>
      <c r="AJ92" s="338"/>
      <c r="AK92" s="339">
        <f>ABS(AE92-Y92)</f>
        <v>0</v>
      </c>
      <c r="AL92" s="340"/>
      <c r="AM92" s="340"/>
      <c r="AN92" s="340"/>
      <c r="AO92" s="340"/>
      <c r="AP92" s="341"/>
      <c r="AQ92" s="38" t="str">
        <f>IF(AND(OR(NOT(ISBLANK(G92)),NOT(ISBLANK(M92))),OR(ISBLANK(B92),B92="Select")),"Please select a Financial Year","")</f>
        <v/>
      </c>
      <c r="AT92" s="6">
        <f>IF( AND(OR(B92="2005-2006",B92="2006-2007"),$U$22&lt;&gt;"Female"),IF( MROUND(G92,10)&lt;= 100000, 0, IF(AND(MROUND(G92,10)&gt; 100000,MROUND(G92,10)&lt;= 150000),  ROUND(ABS(MROUND(G92,10)- 100000)*0.1,0), IF(AND(MROUND(G92,10)&gt; 150000, MROUND(G92,10)&lt;= 250000), ROUND(5000+ ABS(MROUND(G92,10)- 150000)*0.2,0),IF(MROUND(G92,10)&gt; 250000,  ROUND(25000+ABS(MROUND(G92,10)- 250000)*0.3,0),  0)))),IF(AND(OR(B92="2005-2006",B92="2006-2007"),$U$22="Female"),IF(MROUND(G92,10)&lt;= 135000, 0, IF(AND(MROUND(G92,10)&gt; 135000, MROUND(G92,10)&lt;= 150000), ROUND(ABS(MROUND(G92,10)- 135000)*0.1,0), IF(AND(MROUND(G92,10)&gt; 150000, MROUND(G92,10)&lt;= 250000), ROUND(1500+ ABS(MROUND(G92,10)- 150000)*0.2,0),  IF(MROUND(G92,10)&gt; 250000, ROUND(21500+ABS(MROUND(G92,10)- 250000)*0.3,0),0)))),IF(AND(B92="2007-2008",$U$22&lt;&gt;"Female"), IF(MROUND(G92,10)&lt;= 110000,  0,  IF(AND(MROUND(G92,10)&gt; 110000, MROUND(G92,10)&lt;= 150000), ROUND(ABS(MROUND(G92,10)- 110000)*0.1,0),  IF(AND(MROUND(G92,10)&gt; 150000, MROUND(G92,10)&lt;= 250000),  ROUND(4000+ ABS(MROUND(G92,10)- 150000)*0.2,0),   IF(MROUND(G92,10)&gt; 250000,   ROUND(24000+ABS(MROUND(G92,10)- 250000)*0.3,0),0)))),IF(AND(B92="2007-2008",$U$22="Female"), IF(MROUND(G92,10)&lt;= 145000, 0, IF(AND(MROUND(G92,10)&gt; 145000, MROUND(G92,10)&lt;= 150000),     ROUND(ABS(MROUND(G92,10)- 145000)*0.1,0),  IF(AND(MROUND(G92,10)&gt; 150000, MROUND(G92,10)&lt;= 250000),  ROUND(500+ ABS(MROUND(G92,10)- 150000)*0.2,0),  IF(MROUND(G92,10)&gt; 250000, ROUND(20500+ABS(MROUND(G92,10)- 250000)*0.3,0),0)))), IF(AND(B92="2008-2009",$U$22&lt;&gt;"Female"), IF(MROUND(G92,10)&lt;= 150000, 0, IF(AND(MROUND(G92,10)&gt; 150000, MROUND(G92,10)&lt;= 300000), ROUND(ABS(MROUND(G92,10)- 150000)*0.1,0), IF(AND(MROUND(G92,10)&gt; 300000, MROUND(G92,10)&lt;= 500000),  ROUND(15000+ ABS(MROUND(G92,10)- 300000)*0.2,0),  IF(MROUND(G92,10)&gt; 500000,  ROUND(55000+ABS(MROUND(G92,10)- 500000)*0.3,0),0)))), IF(AND(B92="2008-2009",$U$22="Female"), IF(MROUND(G92,10)&lt;= 180000, 0, IF(AND(MROUND(G92,10)&gt; 180000, MROUND(G92,10)&lt;= 300000), ROUND(ABS(MROUND(G92,10)- 180000)*0.1,0), IF(AND(MROUND(G92,10)&gt; 300000, MROUND(G92,10)&lt;= 500000), ROUND(12000+ ABS(MROUND(G92,10)- 300000)*0.2,0),  IF(MROUND(G92,10)&gt; 500000,  ROUND(52000+ABS(MROUND(G92,10)- 500000)*0.3,0),0)))), IF(AND(B92="2009-2010", $U$22&lt;&gt;"Female"), IF(MROUND(G92,10)&lt;= 160000, 0, IF(AND(MROUND(G92,10)&gt; 160000, MROUND(G92,10)&lt;= 300000),ROUND(ABS(MROUND(G92,10)- 160000)*0.1,0), IF(AND(MROUND(G92,10)&gt; 300000, MROUND(G92,10)&lt;= 500000),ROUND(14000+ ABS(MROUND(G92,10)- 300000)*0.2,0),  IF(MROUND(G92,10)&gt; 500000, ROUND(54000+ABS(MROUND(G92,10)- 500000)*0.3,0),0)))),IF(AND(B92="2009-2010",$U$22="Female"), IF(MROUND(G92,10)&lt;= 190000, 0, IF(AND(MROUND(G92,10)&gt; 190000, MROUND(G92,10)&lt;= 300000),ROUND(ABS(MROUND(G92,10)- 190000)*0.1,0), IF(AND(MROUND(G92,10)&gt; 300000, MROUND(G92,10)&lt;= 500000), ROUND(11000+ ABS(MROUND(G92,10)- 300000)*0.2,0),IF(MROUND(G92,10)&gt; 500000,  ROUND(51000+ABS(MROUND(G92,10)- 500000)*0.3,0),0)))), IF(AND(B92="2010-2011",$U$22&lt;&gt;"Female"), IF(MROUND(G92,10)&lt;= 160000, 0, IF(AND(MROUND(G92,10)&gt; 160000, MROUND(G92,10)&lt;= 500000), ROUND(ABS(MROUND(G92,10)- 160000)*0.1,0), IF(AND(MROUND(G92,10)&gt; 500000, MROUND(G92,10)&lt;= 800000), ROUND(34000+ ABS(MROUND(G92,10)- 500000)*0.2,0),  IF(MROUND(G92,10)&gt; 800000,  ROUND(94000+ABS(MROUND(G92,10)- 800000)*0.3,0),0)))), IF(AND(OR(B92="2010-2011",B92="2011-2012"),$U$22="Female"), IF(MROUND(G92,10)&lt;= 190000, 0, IF(AND(MROUND(G92,10)&gt; 190000, MROUND(G92,10)&lt;= 500000), ROUND(ABS(MROUND(G92,10)- 190000)*0.1,0), IF(AND(MROUND(G92,10)&gt; 500000, MROUND(G92,10)&lt;= 800000),  ROUND(31000+ ABS(MROUND(G92,10)- 500000)*0.2,0),  IF(MROUND(G92,10)&gt; 800000,  ROUND(91000+ABS(MROUND(G92,10)- 800000)*0.3,0),0)))), IF(AND(B92="2011-2012", $U$22&lt;&gt;"Female"), IF(MROUND(G92,10)&lt;= 180000, 0, IF(AND(MROUND(G92,10)&gt; 180000, MROUND(G92,10)&lt;= 500000), ROUND(ABS(MROUND(G92,10)- 180000)*0.1,0), IF(AND(MROUND(G92,10)&gt; 500000, MROUND(G92,10)&lt;= 800000),  ROUND(32000+ ABS(MROUND(G92,10)- 500000)*0.2,0),  IF(MROUND(G92,10)&gt; 800000,  ROUND(92000+ABS(MROUND(G92,10)- 800000)*0.3,0),0)))), IF(OR(B92="2012-2013",B92="2013-2014"), IF(MROUND(G92,10)&lt;= 200000, 0, IF(AND(MROUND(G92,10)&gt; 200000, MROUND(G92,10)&lt;= 500000), ROUND(ABS(MROUND(G92,10)- 200000)*0.1,0), IF(AND(MROUND(G92,10)&gt; 500000, MROUND(G92,10)&lt;= 1000000),  ROUND(30000+ ABS(MROUND(G92,10)- 500000)*0.2,0),  IF(MROUND(G92,10)&gt; 1000000,  ROUND(130000+ABS(MROUND(G92,10)- 1000000)*0.3,0),0)))), IF(OR(B92="2014-2015", B92="2015-2016",B92="2016-2017"), IF(MROUND(G92,10)&lt;= 250000, 0, IF(AND(MROUND(G92,10)&gt; 250000, MROUND(G92,10)&lt;= 500000), ROUND(ABS(MROUND(G92,10)- 250000)*0.1,0), IF(AND(MROUND(G92,10)&gt; 500000, MROUND(G92,10)&lt;= 1000000),  ROUND(25000+ ABS(MROUND(G92,10)- 500000)*0.2,0),  IF(MROUND(G92,10)&gt; 1000000,  ROUND(125000+ABS(MROUND(G92,10)- 1000000)*0.3,0), 0)))), IF(OR(B92="2017-2018",B92="2018-2019",B92="2019-2020",AND(B92="2020-2021",'Basic Information'!$AG$22="No"),AND(B92="2021-2022",'Basic Information'!$AG$25="No"),AND(B92="2022-2023",'Basic Information'!$AG$28="No"),AND(B92="2023-2024",'Basic Information'!$AG$31="Yes")), IF(MROUND(G92,10)&lt;= 250000, 0, IF(AND(MROUND(G92,10)&gt; 250000, MROUND(G92,10)&lt;= 500000), ROUND(ABS(MROUND(G92,10)- 250000)*0.05,0), IF(AND(MROUND(G92,10)&gt; 500000, MROUND(G92,10)&lt;= 1000000),  ROUND(12500+ ABS(MROUND(G92,10)- 500000)*0.2,0),  IF(MROUND(G92,10)&gt; 1000000,  ROUND(112500+ABS(MROUND(G92,10)- 1000000)*0.3,0), 0)))),IF(OR(AND(B92="2020-2021",'Basic Information'!$AG$22="Yes"),AND(B92="2021-2022",'Basic Information'!$AG$25="Yes"),AND(B92="2022-2023",'Basic Information'!$AG$28="Yes")), IF(MROUND(G92,10)&lt;= 250000, 0, IF(AND(MROUND(G92,10)&gt; 250000, MROUND(G92,10)&lt;= 500000), ROUND(ABS(MROUND(G92,10)- 250000)*0.05,0), IF(AND(MROUND(G92,10)&gt; 500000, MROUND(G92,10)&lt;= 750000),  ROUND(12500+ ABS(MROUND(G92,10)- 500000)*0.1,0), IF(AND(MROUND(G92,10)&gt; 750000, MROUND(G92,10)&lt;= 1000000),  ROUND(37500+ ABS(MROUND(G92,10)- 750000)*0.15,0),IF(AND(MROUND(G92,10)&gt; 1000000, MROUND(G92,10)&lt;= 1250000),  ROUND(75000+ ABS(MROUND(G92,10)- 1000000)*0.2,0),IF(AND(MROUND(G92,10)&gt; 1250000, MROUND(G92,10)&lt;= 1500000),  ROUND(125000+ ABS(MROUND(G92,10)- 1250000)*0.25,0), IF(MROUND(G92,10)&gt; 1500000,  ROUND(187500+ABS(MROUND(G92,10)- 1500000)*0.3,0), 0))))))),IF(AND(B92="2023-2024",'Basic Information'!$AG$31="No"), IF(MROUND(G92,10)&lt;= 300000, 0, IF(AND(MROUND(G92,10)&gt; 300000, MROUND(G92,10)&lt;= 600000), ROUND(ABS(MROUND(G92,10)- 300000)*0.05,0), IF(AND(MROUND(G92,10)&gt; 600000, MROUND(G92,10)&lt;= 900000),  ROUND(15000+ ABS(MROUND(G92,10)- 600000)*0.1,0), IF(AND(MROUND(G92,10)&gt; 900000, MROUND(G92,10)&lt;= 1200000),  ROUND(45000+ ABS(MROUND(G92,10)- 900000)*0.15,0),IF(AND(MROUND(G92,10)&gt; 1200000, MROUND(G92,10)&lt;= 1500000),  ROUND(90000+ ABS(MROUND(G92,10)- 1200000)*0.2,0), IF(MROUND(G92,10)&gt; 1500000,  ROUND(150000+ABS(MROUND(G92,10)- 1500000)*0.3,0), 0)))))),0))))))))))))))))</f>
        <v>0</v>
      </c>
      <c r="AU92" s="6">
        <f>IF(OR(B92="2013-2014",B92="2014-2015",B92="2015-2016"),IF(AND(MROUND(G92,10)&lt;=500000,MROUND(G92,10)&lt;&gt;0),IF(AT92&lt;=2000, AT92,2000),0), IF(B92="2016-2017",IF(AND(MROUND(G92,10)&lt;=500000,MROUND(G92,10)&lt;&gt;0),IF(AT92&lt;=5000, AT92,5000),0), IF(OR(B92="2017-2018",B92="2018-2019"),IF(AND(MROUND(G92,10)&lt;=350000,MROUND(G92,10)&lt;&gt;0),IF(AT92&lt;=2500, AT92,2500),0), IF(OR(B92="2019-2020",B92="2020-2021",B92="2021-2022",B92="2022-2023",AND(B92="2023-2024",'Basic Information'!$AG$31="Yes")),IF(AND(MROUND(G92,10)&lt;=500000,MROUND(G92,10)&lt;&gt;0),IF(AT92&lt;=12500, AT92,12500),0), IF(OR(AND(B92="2023-2024",'Basic Information'!$AG$31="No")),IF(AND(MROUND(G92,10)&lt;=700000,MROUND(G92,10)&lt;&gt;0),IF(AT92&lt;=25000, AT92,25000),IF(AND(MROUND(G92,10)&lt;&gt;0,(MROUND(G92,10)-700000)&lt;=AT92),AT92-(MROUND(G92,10)-700000),0)),0)))))</f>
        <v>0</v>
      </c>
      <c r="AV92" s="6">
        <f>IF((AT92&lt;AU92),0,ROUND(ABS(AT92- AU92),0))</f>
        <v>0</v>
      </c>
      <c r="AW92" s="6">
        <f>IF(OR(B92="2005-2006",B92="2006-2007"),ROUND(AV92*0.02,0),IF(OR(B92="2018-2019",B92="2019-2020",B92="2020-2021",B92="2021-2022",B92="2022-2023",B92="2023-2024"),ROUND(AV92*0.04,0),ROUND(AV92*0.03,0)))</f>
        <v>0</v>
      </c>
      <c r="AX92" s="6">
        <f>IF( AND(OR(B92="2005-2006",B92="2006-2007"),$U$22&lt;&gt;"Female"),IF( MROUND(S92,10)&lt;= 100000, 0, IF(AND(MROUND(S92,10)&gt; 100000,MROUND(S92,10)&lt;= 150000),  ROUND(ABS(MROUND(S92,10)- 100000)*0.1,0), IF(AND(MROUND(S92,10)&gt; 150000, MROUND(S92,10)&lt;= 250000), ROUND(5000+ ABS(MROUND(S92,10)- 150000)*0.2,0),IF(MROUND(S92,10)&gt; 250000,  ROUND(25000+ABS(MROUND(S92,10)- 250000)*0.3,0),  0)))),IF(AND(OR(B92="2005-2006",B92="2006-2007"),$U$22="Female"),IF(MROUND(S92,10)&lt;= 135000, 0, IF(AND(MROUND(S92,10)&gt; 135000, MROUND(S92,10)&lt;= 150000), ROUND(ABS(MROUND(S92,10)- 135000)*0.1,0), IF(AND(MROUND(S92,10)&gt; 150000, MROUND(S92,10)&lt;= 250000), ROUND(1500+ ABS(MROUND(S92,10)- 150000)*0.2,0),  IF(MROUND(S92,10)&gt; 250000, ROUND(21500+ABS(MROUND(S92,10)- 250000)*0.3,0),0)))),IF(AND(B92="2007-2008",$U$22&lt;&gt;"Female"), IF(MROUND(S92,10)&lt;= 110000,  0,  IF(AND(MROUND(S92,10)&gt; 110000, MROUND(S92,10)&lt;= 150000),     ROUND(ABS(MROUND(S92,10)- 110000)*0.1,0),  IF(AND(MROUND(S92,10)&gt; 150000, MROUND(S92,10)&lt;= 250000),  ROUND(4000+ ABS(MROUND(S92,10)- 150000)*0.2,0),   IF(MROUND(S92,10)&gt; 250000,   ROUND(24000+ABS(MROUND(S92,10)- 250000)*0.3,0),0)))),IF(AND(B92="2007-2008",$U$22="Female"), IF(MROUND(S92,10)&lt;= 145000, 0, IF(AND(MROUND(S92,10)&gt; 145000, MROUND(S92,10)&lt;= 150000),     ROUND(ABS(MROUND(S92,10)- 145000)*0.1,0),  IF(AND(MROUND(S92,10)&gt; 150000, MROUND(S92,10)&lt;= 250000),  ROUND(500+ ABS(MROUND(S92,10)- 150000)*0.2,0),  IF(MROUND(S92,10)&gt; 250000, ROUND(20500+ABS(MROUND(S92,10)- 250000)*0.3,0),0)))), IF(AND(B92="2008-2009",$U$22&lt;&gt;"Female"), IF(MROUND(S92,10)&lt;= 150000, 0, IF(AND(MROUND(S92,10)&gt; 150000, MROUND(S92,10)&lt;= 300000), ROUND(ABS(MROUND(S92,10)- 150000)*0.1,0), IF(AND(MROUND(S92,10)&gt; 300000, MROUND(S92,10)&lt;= 500000),  ROUND(15000+ ABS(MROUND(S92,10)- 300000)*0.2,0),  IF(MROUND(S92,10)&gt; 500000,  ROUND(55000+ABS(MROUND(S92,10)- 500000)*0.3,0),0)))), IF(AND(B92="2008-2009",$U$22="Female"), IF(MROUND(S92,10)&lt;= 180000, 0, IF(AND(MROUND(S92,10)&gt; 180000, MROUND(S92,10)&lt;= 300000), ROUND(ABS(MROUND(S92,10)- 180000)*0.1,0), IF(AND(MROUND(S92,10)&gt; 300000, MROUND(S92,10)&lt;= 500000), ROUND(12000+ ABS(MROUND(S92,10)- 300000)*0.2,0),  IF(MROUND(S92,10)&gt; 500000,  ROUND(52000+ABS(MROUND(S92,10)- 500000)*0.3,0),0)))), IF(AND(B92="2009-2010", $U$22&lt;&gt;"Female"), IF(MROUND(S92,10)&lt;= 160000, 0, IF(AND(MROUND(S92,10)&gt; 160000, MROUND(S92,10)&lt;= 300000),ROUND(ABS(MROUND(S92,10)- 160000)*0.1,0), IF(AND(MROUND(S92,10)&gt; 300000, MROUND(S92,10)&lt;= 500000),ROUND(14000+ ABS(MROUND(S92,10)- 300000)*0.2,0),  IF(MROUND(S92,10)&gt; 500000, ROUND(54000+ABS(MROUND(S92,10)- 500000)*0.3,0),0)))),IF(AND(B92="2009-2010",$U$22="Female"), IF(MROUND(S92,10)&lt;= 190000, 0, IF(AND(MROUND(S92,10)&gt; 190000, MROUND(S92,10)&lt;= 300000),ROUND(ABS(MROUND(S92,10)- 190000)*0.1,0), IF(AND(MROUND(S92,10)&gt; 300000, MROUND(S92,10)&lt;= 500000), ROUND(11000+ ABS(MROUND(S92,10)- 300000)*0.2,0),IF(MROUND(S92,10)&gt; 500000,  ROUND(51000+ABS(MROUND(S92,10)- 500000)*0.3,0),0)))), IF(AND(B92="2010-2011",$U$22&lt;&gt;"Female"), IF(MROUND(S92,10)&lt;= 160000, 0, IF(AND(MROUND(S92,10)&gt; 160000, MROUND(S92,10)&lt;= 500000), ROUND(ABS(MROUND(S92,10)- 160000)*0.1,0), IF(AND(MROUND(S92,10)&gt; 500000, MROUND(S92,10)&lt;= 800000), ROUND(34000+ ABS(MROUND(S92,10)- 500000)*0.2,0),  IF(MROUND(S92,10)&gt; 800000,  ROUND(94000+ABS(MROUND(S92,10)- 800000)*0.3,0),0)))), IF(AND(OR(B92="2010-2011",B92="2011-2012"),$U$22="Female"), IF(MROUND(S92,10)&lt;= 190000, 0, IF(AND(MROUND(S92,10)&gt; 190000, MROUND(S92,10)&lt;= 500000), ROUND(ABS(MROUND(S92,10)- 190000)*0.1,0), IF(AND(MROUND(S92,10)&gt; 500000, MROUND(S92,10)&lt;= 800000),  ROUND(31000+ ABS(MROUND(S92,10)- 500000)*0.2,0),  IF(MROUND(S92,10)&gt; 800000,  ROUND(91000+ABS(MROUND(S92,10)- 800000)*0.3,0),0)))), IF(AND(B92="2011-2012", $U$22&lt;&gt;"Female"), IF(MROUND(S92,10)&lt;= 180000, 0, IF(AND(MROUND(S92,10)&gt; 180000, MROUND(S92,10)&lt;= 500000), ROUND(ABS(MROUND(S92,10)- 180000)*0.1,0), IF(AND(MROUND(S92,10)&gt; 500000, MROUND(S92,10)&lt;= 800000),  ROUND(32000+ ABS(MROUND(S92,10)- 500000)*0.2,0),  IF(MROUND(S92,10)&gt; 800000,  ROUND(92000+ABS(MROUND(S92,10)- 800000)*0.3,0),0)))), IF(OR(B92="2012-2013",B92="2013-2014"), IF(MROUND(S92,10)&lt;= 200000, 0, IF(AND(MROUND(S92,10)&gt; 200000, MROUND(S92,10)&lt;= 500000), ROUND(ABS(MROUND(S92,10)- 200000)*0.1,0), IF(AND(MROUND(S92,10)&gt; 500000, MROUND(S92,10)&lt;= 1000000),  ROUND(30000+ ABS(MROUND(S92,10)- 500000)*0.2,0),  IF(MROUND(S92,10)&gt; 1000000,  ROUND(130000+ABS(MROUND(S92,10)- 1000000)*0.3,0),0)))), IF(OR(B92="2014-2015", B92="2015-2016",B92="2016-2017"), IF(MROUND(S92,10)&lt;= 250000, 0, IF(AND(MROUND(S92,10)&gt; 250000, MROUND(S92,10)&lt;= 500000), ROUND(ABS(MROUND(S92,10)- 250000)*0.1,0), IF(AND(MROUND(S92,10)&gt; 500000, MROUND(S92,10)&lt;= 1000000),  ROUND(25000+ ABS(MROUND(S92,10)- 500000)*0.2,0),  IF(MROUND(S92,10)&gt; 1000000,  ROUND(125000+ABS(MROUND(S92,10)- 1000000)*0.3,0), 0)))),IF(OR(B92="2017-2018",B92="2018-2019",B92="2019-2020",AND(B92="2020-2021",'Basic Information'!$AG$22="No"),AND(B92="2021-2022",'Basic Information'!$AG$25="No"),AND(B92="2022-2023",'Basic Information'!$AG$28="No"),AND(B92="2023-2024",'Basic Information'!$AG$31="Yes")), IF(MROUND(S92,10)&lt;= 250000, 0, IF(AND(MROUND(S92,10)&gt; 250000, MROUND(S92,10)&lt;= 500000), ROUND(ABS(MROUND(S92,10)- 250000)*0.05,0), IF(AND(MROUND(S92,10)&gt; 500000, MROUND(S92,10)&lt;= 1000000),  ROUND(12500+ ABS(MROUND(S92,10)- 500000)*0.2,0),  IF(MROUND(S92,10)&gt; 1000000,  ROUND(112500+ABS(MROUND(S92,10)- 1000000)*0.3,0), 0)))),IF(OR(AND(B92="2020-2021",'Basic Information'!$AG$22="Yes"),AND(B92="2021-2022",'Basic Information'!$AG$25="Yes"),AND(B92="2022-2023",'Basic Information'!$AG$28="Yes")), IF(MROUND(S92,10)&lt;= 250000, 0, IF(AND(MROUND(S92,10)&gt; 250000, MROUND(S92,10)&lt;= 500000), ROUND(ABS(MROUND(S92,10)- 250000)*0.05,0), IF(AND(MROUND(S92,10)&gt; 500000, MROUND(S92,10)&lt;= 750000),  ROUND(12500+ ABS(MROUND(S92,10)- 500000)*0.1,0), IF(AND(MROUND(S92,10)&gt; 750000, MROUND(S92,10)&lt;= 1000000),  ROUND(37500+ ABS(MROUND(S92,10)- 750000)*0.15,0),IF(AND(MROUND(S92,10)&gt; 1000000, MROUND(S92,10)&lt;= 1250000),  ROUND(75000+ ABS(MROUND(S92,10)- 1000000)*0.2,0),IF(AND(MROUND(S92,10)&gt; 1250000, MROUND(S92,10)&lt;= 1500000),  ROUND(125000+ ABS(MROUND(S92,10)- 1250000)*0.25,0), IF(MROUND(S92,10)&gt; 1500000,  ROUND(187500+ABS(MROUND(S92,10)- 1500000)*0.3,0), 0))))))),IF(AND(B92="2023-2024",'Basic Information'!$AG$31="No"), IF(MROUND(S92,10)&lt;= 300000, 0, IF(AND(MROUND(S92,10)&gt; 300000, MROUND(S92,10)&lt;= 600000), ROUND(ABS(MROUND(S92,10)- 300000)*0.05,0), IF(AND(MROUND(S92,10)&gt; 600000, MROUND(S92,10)&lt;= 900000),  ROUND(15000+ ABS(MROUND(S92,10)- 600000)*0.1,0), IF(AND(MROUND(S92,10)&gt; 900000, MROUND(S92,10)&lt;= 1200000),  ROUND(45000+ ABS(MROUND(S92,10)- 900000)*0.15,0),IF(AND(MROUND(S92,10)&gt; 1200000, MROUND(S92,10)&lt;= 1500000),  ROUND(90000+ ABS(MROUND(S92,10)- 1200000)*0.2,0), IF(MROUND(S92,10)&gt; 1500000,  ROUND(150000+ABS(MROUND(S92,10)- 1500000)*0.3,0), 0)))))),0))))))))))))))))</f>
        <v>0</v>
      </c>
      <c r="AY92" s="6">
        <f>IF(OR(B92="2013-2014",B92="2014-2015",B92="2015-2016"),IF(AND(MROUND(S92,10)&lt;=500000,MROUND(S92,10)&lt;&gt;0),IF(AX92&lt;=2000, AX92,2000),0), IF(B92="2016-2017",IF(AND(MROUND(S92,10)&lt;=500000,MROUND(S92,10)&lt;&gt;0),IF(AX92&lt;=5000, AX92,5000),0), IF(OR(B92="2017-2018",B92="2018-2019"),IF(AND(MROUND(S92,10)&lt;=350000,MROUND(S92,10)&lt;&gt;0),IF(AX92&lt;=2500, AX92,2500),0), IF(OR(B92="2019-2020",B92="2020-2021",B92="2021-2022",B92="2022-2023",AND(B92="2023-2024",'Basic Information'!$AG$31="Yes")),IF(AND(MROUND(S92,10)&lt;=500000,MROUND(S92,10)&lt;&gt;0),IF(AX92&lt;=12500, AX92,12500),0), IF(OR(AND(B92="2023-2024",'Basic Information'!$AG$31="No")),IF(AND(MROUND(S92,10)&lt;=700000,MROUND(S92,10)&lt;&gt;0),IF(AX92&lt;=25000, AX92,25000),IF(AND(MROUND(S92,10)&lt;&gt;0,(MROUND(S92,10)-700000)&lt;= AX92), AX92-(MROUND(S92,10)-700000),0)),0)))))</f>
        <v>0</v>
      </c>
      <c r="AZ92" s="6">
        <f t="shared" ref="AZ92" si="0">IF((AX92&lt;AY92),0,ROUND(ABS(AX92- AY92),0))</f>
        <v>0</v>
      </c>
      <c r="BA92" s="6">
        <f>IF(OR(B92="2005-2006",B92="2006-2007"),ROUND(AZ92*0.02,0),IF(OR(B92="2018-2019",B92="2019-2020",B92="2020-2021",B92="2021-2022",B92="2022-2023",B92="2023-2024"),ROUND(AZ92*0.04,0),ROUND(AZ92*0.03,0)))</f>
        <v>0</v>
      </c>
    </row>
    <row r="93" spans="2:53" x14ac:dyDescent="0.3">
      <c r="B93" s="342"/>
      <c r="C93" s="343"/>
      <c r="D93" s="343"/>
      <c r="E93" s="343"/>
      <c r="F93" s="344"/>
      <c r="G93" s="345"/>
      <c r="H93" s="346"/>
      <c r="I93" s="346"/>
      <c r="J93" s="346"/>
      <c r="K93" s="346"/>
      <c r="L93" s="347"/>
      <c r="M93" s="345"/>
      <c r="N93" s="346"/>
      <c r="O93" s="346"/>
      <c r="P93" s="346"/>
      <c r="Q93" s="346"/>
      <c r="R93" s="347"/>
      <c r="S93" s="335">
        <f t="shared" ref="S93:S101" si="1">SUM(G93,M93)</f>
        <v>0</v>
      </c>
      <c r="T93" s="336"/>
      <c r="U93" s="336"/>
      <c r="V93" s="336"/>
      <c r="W93" s="336"/>
      <c r="X93" s="337"/>
      <c r="Y93" s="335">
        <f t="shared" ref="Y93:Y101" si="2">MROUND(SUM(AV93,AW93),10)</f>
        <v>0</v>
      </c>
      <c r="Z93" s="336"/>
      <c r="AA93" s="336"/>
      <c r="AB93" s="336"/>
      <c r="AC93" s="336"/>
      <c r="AD93" s="337"/>
      <c r="AE93" s="335">
        <f t="shared" ref="AE93:AE101" si="3">SUM(AZ93,BA93)</f>
        <v>0</v>
      </c>
      <c r="AF93" s="336"/>
      <c r="AG93" s="336"/>
      <c r="AH93" s="336"/>
      <c r="AI93" s="336"/>
      <c r="AJ93" s="338"/>
      <c r="AK93" s="339">
        <f t="shared" ref="AK93:AK101" si="4">ABS(AE93-Y93)</f>
        <v>0</v>
      </c>
      <c r="AL93" s="340"/>
      <c r="AM93" s="340"/>
      <c r="AN93" s="340"/>
      <c r="AO93" s="340"/>
      <c r="AP93" s="341"/>
      <c r="AQ93" s="38" t="str">
        <f>IF(AND(OR(NOT(ISBLANK(G93)),NOT(ISBLANK(M93))),OR(ISBLANK(B93),B93="Select")),"Please select a Financial Year","")</f>
        <v/>
      </c>
      <c r="AT93" s="6">
        <f>IF( AND(OR(B93="2005-2006",B93="2006-2007"),$U$22&lt;&gt;"Female"),IF( MROUND(G93,10)&lt;= 100000, 0, IF(AND(MROUND(G93,10)&gt; 100000,MROUND(G93,10)&lt;= 150000),  ROUND(ABS(MROUND(G93,10)- 100000)*0.1,0), IF(AND(MROUND(G93,10)&gt; 150000, MROUND(G93,10)&lt;= 250000), ROUND(5000+ ABS(MROUND(G93,10)- 150000)*0.2,0),IF(MROUND(G93,10)&gt; 250000,  ROUND(25000+ABS(MROUND(G93,10)- 250000)*0.3,0),  0)))),IF(AND(OR(B93="2005-2006",B93="2006-2007"),$U$22="Female"),IF(MROUND(G93,10)&lt;= 135000, 0, IF(AND(MROUND(G93,10)&gt; 135000, MROUND(G93,10)&lt;= 150000), ROUND(ABS(MROUND(G93,10)- 135000)*0.1,0), IF(AND(MROUND(G93,10)&gt; 150000, MROUND(G93,10)&lt;= 250000), ROUND(1500+ ABS(MROUND(G93,10)- 150000)*0.2,0),  IF(MROUND(G93,10)&gt; 250000, ROUND(21500+ABS(MROUND(G93,10)- 250000)*0.3,0),0)))),IF(AND(B93="2007-2008",$U$22&lt;&gt;"Female"), IF(MROUND(G93,10)&lt;= 110000,  0,  IF(AND(MROUND(G93,10)&gt; 110000, MROUND(G93,10)&lt;= 150000), ROUND(ABS(MROUND(G93,10)- 110000)*0.1,0),  IF(AND(MROUND(G93,10)&gt; 150000, MROUND(G93,10)&lt;= 250000),  ROUND(4000+ ABS(MROUND(G93,10)- 150000)*0.2,0),   IF(MROUND(G93,10)&gt; 250000,   ROUND(24000+ABS(MROUND(G93,10)- 250000)*0.3,0),0)))),IF(AND(B93="2007-2008",$U$22="Female"), IF(MROUND(G93,10)&lt;= 145000, 0, IF(AND(MROUND(G93,10)&gt; 145000, MROUND(G93,10)&lt;= 150000),     ROUND(ABS(MROUND(G93,10)- 145000)*0.1,0),  IF(AND(MROUND(G93,10)&gt; 150000, MROUND(G93,10)&lt;= 250000),  ROUND(500+ ABS(MROUND(G93,10)- 150000)*0.2,0),  IF(MROUND(G93,10)&gt; 250000, ROUND(20500+ABS(MROUND(G93,10)- 250000)*0.3,0),0)))), IF(AND(B93="2008-2009",$U$22&lt;&gt;"Female"), IF(MROUND(G93,10)&lt;= 150000, 0, IF(AND(MROUND(G93,10)&gt; 150000, MROUND(G93,10)&lt;= 300000), ROUND(ABS(MROUND(G93,10)- 150000)*0.1,0), IF(AND(MROUND(G93,10)&gt; 300000, MROUND(G93,10)&lt;= 500000),  ROUND(15000+ ABS(MROUND(G93,10)- 300000)*0.2,0),  IF(MROUND(G93,10)&gt; 500000,  ROUND(55000+ABS(MROUND(G93,10)- 500000)*0.3,0),0)))), IF(AND(B93="2008-2009",$U$22="Female"), IF(MROUND(G93,10)&lt;= 180000, 0, IF(AND(MROUND(G93,10)&gt; 180000, MROUND(G93,10)&lt;= 300000), ROUND(ABS(MROUND(G93,10)- 180000)*0.1,0), IF(AND(MROUND(G93,10)&gt; 300000, MROUND(G93,10)&lt;= 500000), ROUND(12000+ ABS(MROUND(G93,10)- 300000)*0.2,0),  IF(MROUND(G93,10)&gt; 500000,  ROUND(52000+ABS(MROUND(G93,10)- 500000)*0.3,0),0)))), IF(AND(B93="2009-2010", $U$22&lt;&gt;"Female"), IF(MROUND(G93,10)&lt;= 160000, 0, IF(AND(MROUND(G93,10)&gt; 160000, MROUND(G93,10)&lt;= 300000),ROUND(ABS(MROUND(G93,10)- 160000)*0.1,0), IF(AND(MROUND(G93,10)&gt; 300000, MROUND(G93,10)&lt;= 500000),ROUND(14000+ ABS(MROUND(G93,10)- 300000)*0.2,0),  IF(MROUND(G93,10)&gt; 500000, ROUND(54000+ABS(MROUND(G93,10)- 500000)*0.3,0),0)))),IF(AND(B93="2009-2010",$U$22="Female"), IF(MROUND(G93,10)&lt;= 190000, 0, IF(AND(MROUND(G93,10)&gt; 190000, MROUND(G93,10)&lt;= 300000),ROUND(ABS(MROUND(G93,10)- 190000)*0.1,0), IF(AND(MROUND(G93,10)&gt; 300000, MROUND(G93,10)&lt;= 500000), ROUND(11000+ ABS(MROUND(G93,10)- 300000)*0.2,0),IF(MROUND(G93,10)&gt; 500000,  ROUND(51000+ABS(MROUND(G93,10)- 500000)*0.3,0),0)))), IF(AND(B93="2010-2011",$U$22&lt;&gt;"Female"), IF(MROUND(G93,10)&lt;= 160000, 0, IF(AND(MROUND(G93,10)&gt; 160000, MROUND(G93,10)&lt;= 500000), ROUND(ABS(MROUND(G93,10)- 160000)*0.1,0), IF(AND(MROUND(G93,10)&gt; 500000, MROUND(G93,10)&lt;= 800000), ROUND(34000+ ABS(MROUND(G93,10)- 500000)*0.2,0),  IF(MROUND(G93,10)&gt; 800000,  ROUND(94000+ABS(MROUND(G93,10)- 800000)*0.3,0),0)))), IF(AND(OR(B93="2010-2011",B93="2011-2012"),$U$22="Female"), IF(MROUND(G93,10)&lt;= 190000, 0, IF(AND(MROUND(G93,10)&gt; 190000, MROUND(G93,10)&lt;= 500000), ROUND(ABS(MROUND(G93,10)- 190000)*0.1,0), IF(AND(MROUND(G93,10)&gt; 500000, MROUND(G93,10)&lt;= 800000),  ROUND(31000+ ABS(MROUND(G93,10)- 500000)*0.2,0),  IF(MROUND(G93,10)&gt; 800000,  ROUND(91000+ABS(MROUND(G93,10)- 800000)*0.3,0),0)))), IF(AND(B93="2011-2012", $U$22&lt;&gt;"Female"), IF(MROUND(G93,10)&lt;= 180000, 0, IF(AND(MROUND(G93,10)&gt; 180000, MROUND(G93,10)&lt;= 500000), ROUND(ABS(MROUND(G93,10)- 180000)*0.1,0), IF(AND(MROUND(G93,10)&gt; 500000, MROUND(G93,10)&lt;= 800000),  ROUND(32000+ ABS(MROUND(G93,10)- 500000)*0.2,0),  IF(MROUND(G93,10)&gt; 800000,  ROUND(92000+ABS(MROUND(G93,10)- 800000)*0.3,0),0)))), IF(OR(B93="2012-2013",B93="2013-2014"), IF(MROUND(G93,10)&lt;= 200000, 0, IF(AND(MROUND(G93,10)&gt; 200000, MROUND(G93,10)&lt;= 500000), ROUND(ABS(MROUND(G93,10)- 200000)*0.1,0), IF(AND(MROUND(G93,10)&gt; 500000, MROUND(G93,10)&lt;= 1000000),  ROUND(30000+ ABS(MROUND(G93,10)- 500000)*0.2,0),  IF(MROUND(G93,10)&gt; 1000000,  ROUND(130000+ABS(MROUND(G93,10)- 1000000)*0.3,0),0)))), IF(OR(B93="2014-2015", B93="2015-2016",B93="2016-2017"), IF(MROUND(G93,10)&lt;= 250000, 0, IF(AND(MROUND(G93,10)&gt; 250000, MROUND(G93,10)&lt;= 500000), ROUND(ABS(MROUND(G93,10)- 250000)*0.1,0), IF(AND(MROUND(G93,10)&gt; 500000, MROUND(G93,10)&lt;= 1000000),  ROUND(25000+ ABS(MROUND(G93,10)- 500000)*0.2,0),  IF(MROUND(G93,10)&gt; 1000000,  ROUND(125000+ABS(MROUND(G93,10)- 1000000)*0.3,0), 0)))), IF(OR(B93="2017-2018",B93="2018-2019",B93="2019-2020",AND(B93="2020-2021",'Basic Information'!$AG$22="No"),AND(B93="2021-2022",'Basic Information'!$AG$25="No"),AND(B93="2022-2023",'Basic Information'!$AG$28="No"),AND(B93="2023-2024",'Basic Information'!$AG$31="Yes")), IF(MROUND(G93,10)&lt;= 250000, 0, IF(AND(MROUND(G93,10)&gt; 250000, MROUND(G93,10)&lt;= 500000), ROUND(ABS(MROUND(G93,10)- 250000)*0.05,0), IF(AND(MROUND(G93,10)&gt; 500000, MROUND(G93,10)&lt;= 1000000),  ROUND(12500+ ABS(MROUND(G93,10)- 500000)*0.2,0),  IF(MROUND(G93,10)&gt; 1000000,  ROUND(112500+ABS(MROUND(G93,10)- 1000000)*0.3,0), 0)))),IF(OR(AND(B93="2020-2021",'Basic Information'!$AG$22="Yes"),AND(B93="2021-2022",'Basic Information'!$AG$25="Yes"),AND(B93="2022-2023",'Basic Information'!$AG$28="Yes")), IF(MROUND(G93,10)&lt;= 250000, 0, IF(AND(MROUND(G93,10)&gt; 250000, MROUND(G93,10)&lt;= 500000), ROUND(ABS(MROUND(G93,10)- 250000)*0.05,0), IF(AND(MROUND(G93,10)&gt; 500000, MROUND(G93,10)&lt;= 750000),  ROUND(12500+ ABS(MROUND(G93,10)- 500000)*0.1,0), IF(AND(MROUND(G93,10)&gt; 750000, MROUND(G93,10)&lt;= 1000000),  ROUND(37500+ ABS(MROUND(G93,10)- 750000)*0.15,0),IF(AND(MROUND(G93,10)&gt; 1000000, MROUND(G93,10)&lt;= 1250000),  ROUND(75000+ ABS(MROUND(G93,10)- 1000000)*0.2,0),IF(AND(MROUND(G93,10)&gt; 1250000, MROUND(G93,10)&lt;= 1500000),  ROUND(125000+ ABS(MROUND(G93,10)- 1250000)*0.25,0), IF(MROUND(G93,10)&gt; 1500000,  ROUND(187500+ABS(MROUND(G93,10)- 1500000)*0.3,0), 0))))))),IF(AND(B93="2023-2024",'Basic Information'!$AG$31="No"), IF(MROUND(G93,10)&lt;= 300000, 0, IF(AND(MROUND(G93,10)&gt; 300000, MROUND(G93,10)&lt;= 600000), ROUND(ABS(MROUND(G93,10)- 300000)*0.05,0), IF(AND(MROUND(G93,10)&gt; 600000, MROUND(G93,10)&lt;= 900000),  ROUND(15000+ ABS(MROUND(G93,10)- 600000)*0.1,0), IF(AND(MROUND(G93,10)&gt; 900000, MROUND(G93,10)&lt;= 1200000),  ROUND(45000+ ABS(MROUND(G93,10)- 900000)*0.15,0),IF(AND(MROUND(G93,10)&gt; 1200000, MROUND(G93,10)&lt;= 1500000),  ROUND(90000+ ABS(MROUND(G93,10)- 1200000)*0.2,0), IF(MROUND(G93,10)&gt; 1500000,  ROUND(150000+ABS(MROUND(G93,10)- 1500000)*0.3,0), 0)))))),0))))))))))))))))</f>
        <v>0</v>
      </c>
      <c r="AU93" s="6">
        <f>IF(OR(B93="2013-2014",B93="2014-2015",B93="2015-2016"),IF(AND(MROUND(G93,10)&lt;=500000,MROUND(G93,10)&lt;&gt;0),IF(AT93&lt;=2000, AT93,2000),0), IF(B93="2016-2017",IF(AND(MROUND(G93,10)&lt;=500000,MROUND(G93,10)&lt;&gt;0),IF(AT93&lt;=5000, AT93,5000),0), IF(OR(B93="2017-2018",B93="2018-2019"),IF(AND(MROUND(G93,10)&lt;=350000,MROUND(G93,10)&lt;&gt;0),IF(AT93&lt;=2500, AT93,2500),0), IF(OR(B93="2019-2020",B93="2020-2021",B93="2021-2022",B93="2022-2023",AND(B93="2023-2024",'Basic Information'!$AG$31="Yes")),IF(AND(MROUND(G93,10)&lt;=500000,MROUND(G93,10)&lt;&gt;0),IF(AT93&lt;=12500, AT93,12500),0), IF(OR(AND(B93="2023-2024",'Basic Information'!$AG$31="No")),IF(AND(MROUND(G93,10)&lt;=700000,MROUND(G93,10)&lt;&gt;0),IF(AT93&lt;=25000, AT93,25000),IF(AND(MROUND(G93,10)&lt;&gt;0,(MROUND(G93,10)-700000)&lt;=AT93),AT93-(MROUND(G93,10)-700000),0)),0)))))</f>
        <v>0</v>
      </c>
      <c r="AV93" s="6">
        <f t="shared" ref="AV93:AV101" si="5">IF((AT93&lt;AU93),0,ROUND(ABS(AT93- AU93),0))</f>
        <v>0</v>
      </c>
      <c r="AW93" s="6">
        <f t="shared" ref="AW93:AW101" si="6">IF(OR(B93="2005-2006",B93="2006-2007"),ROUND(AV93*0.02,0),IF(OR(B93="2018-2019",B93="2019-2020",B93="2020-2021",B93="2021-2022",B93="2022-2023",B93="2023-2024"),ROUND(AV93*0.04,0),ROUND(AV93*0.03,0)))</f>
        <v>0</v>
      </c>
      <c r="AX93" s="6">
        <f>IF( AND(OR(B93="2005-2006",B93="2006-2007"),$U$22&lt;&gt;"Female"),IF( MROUND(S93,10)&lt;= 100000, 0, IF(AND(MROUND(S93,10)&gt; 100000,MROUND(S93,10)&lt;= 150000),  ROUND(ABS(MROUND(S93,10)- 100000)*0.1,0), IF(AND(MROUND(S93,10)&gt; 150000, MROUND(S93,10)&lt;= 250000), ROUND(5000+ ABS(MROUND(S93,10)- 150000)*0.2,0),IF(MROUND(S93,10)&gt; 250000,  ROUND(25000+ABS(MROUND(S93,10)- 250000)*0.3,0),  0)))),IF(AND(OR(B93="2005-2006",B93="2006-2007"),$U$22="Female"),IF(MROUND(S93,10)&lt;= 135000, 0, IF(AND(MROUND(S93,10)&gt; 135000, MROUND(S93,10)&lt;= 150000), ROUND(ABS(MROUND(S93,10)- 135000)*0.1,0), IF(AND(MROUND(S93,10)&gt; 150000, MROUND(S93,10)&lt;= 250000), ROUND(1500+ ABS(MROUND(S93,10)- 150000)*0.2,0),  IF(MROUND(S93,10)&gt; 250000, ROUND(21500+ABS(MROUND(S93,10)- 250000)*0.3,0),0)))),IF(AND(B93="2007-2008",$U$22&lt;&gt;"Female"), IF(MROUND(S93,10)&lt;= 110000,  0,  IF(AND(MROUND(S93,10)&gt; 110000, MROUND(S93,10)&lt;= 150000),     ROUND(ABS(MROUND(S93,10)- 110000)*0.1,0),  IF(AND(MROUND(S93,10)&gt; 150000, MROUND(S93,10)&lt;= 250000),  ROUND(4000+ ABS(MROUND(S93,10)- 150000)*0.2,0),   IF(MROUND(S93,10)&gt; 250000,   ROUND(24000+ABS(MROUND(S93,10)- 250000)*0.3,0),0)))),IF(AND(B93="2007-2008",$U$22="Female"), IF(MROUND(S93,10)&lt;= 145000, 0, IF(AND(MROUND(S93,10)&gt; 145000, MROUND(S93,10)&lt;= 150000),     ROUND(ABS(MROUND(S93,10)- 145000)*0.1,0),  IF(AND(MROUND(S93,10)&gt; 150000, MROUND(S93,10)&lt;= 250000),  ROUND(500+ ABS(MROUND(S93,10)- 150000)*0.2,0),  IF(MROUND(S93,10)&gt; 250000, ROUND(20500+ABS(MROUND(S93,10)- 250000)*0.3,0),0)))), IF(AND(B93="2008-2009",$U$22&lt;&gt;"Female"), IF(MROUND(S93,10)&lt;= 150000, 0, IF(AND(MROUND(S93,10)&gt; 150000, MROUND(S93,10)&lt;= 300000), ROUND(ABS(MROUND(S93,10)- 150000)*0.1,0), IF(AND(MROUND(S93,10)&gt; 300000, MROUND(S93,10)&lt;= 500000),  ROUND(15000+ ABS(MROUND(S93,10)- 300000)*0.2,0),  IF(MROUND(S93,10)&gt; 500000,  ROUND(55000+ABS(MROUND(S93,10)- 500000)*0.3,0),0)))), IF(AND(B93="2008-2009",$U$22="Female"), IF(MROUND(S93,10)&lt;= 180000, 0, IF(AND(MROUND(S93,10)&gt; 180000, MROUND(S93,10)&lt;= 300000), ROUND(ABS(MROUND(S93,10)- 180000)*0.1,0), IF(AND(MROUND(S93,10)&gt; 300000, MROUND(S93,10)&lt;= 500000), ROUND(12000+ ABS(MROUND(S93,10)- 300000)*0.2,0),  IF(MROUND(S93,10)&gt; 500000,  ROUND(52000+ABS(MROUND(S93,10)- 500000)*0.3,0),0)))), IF(AND(B93="2009-2010", $U$22&lt;&gt;"Female"), IF(MROUND(S93,10)&lt;= 160000, 0, IF(AND(MROUND(S93,10)&gt; 160000, MROUND(S93,10)&lt;= 300000),ROUND(ABS(MROUND(S93,10)- 160000)*0.1,0), IF(AND(MROUND(S93,10)&gt; 300000, MROUND(S93,10)&lt;= 500000),ROUND(14000+ ABS(MROUND(S93,10)- 300000)*0.2,0),  IF(MROUND(S93,10)&gt; 500000, ROUND(54000+ABS(MROUND(S93,10)- 500000)*0.3,0),0)))),IF(AND(B93="2009-2010",$U$22="Female"), IF(MROUND(S93,10)&lt;= 190000, 0, IF(AND(MROUND(S93,10)&gt; 190000, MROUND(S93,10)&lt;= 300000),ROUND(ABS(MROUND(S93,10)- 190000)*0.1,0), IF(AND(MROUND(S93,10)&gt; 300000, MROUND(S93,10)&lt;= 500000), ROUND(11000+ ABS(MROUND(S93,10)- 300000)*0.2,0),IF(MROUND(S93,10)&gt; 500000,  ROUND(51000+ABS(MROUND(S93,10)- 500000)*0.3,0),0)))), IF(AND(B93="2010-2011",$U$22&lt;&gt;"Female"), IF(MROUND(S93,10)&lt;= 160000, 0, IF(AND(MROUND(S93,10)&gt; 160000, MROUND(S93,10)&lt;= 500000), ROUND(ABS(MROUND(S93,10)- 160000)*0.1,0), IF(AND(MROUND(S93,10)&gt; 500000, MROUND(S93,10)&lt;= 800000), ROUND(34000+ ABS(MROUND(S93,10)- 500000)*0.2,0),  IF(MROUND(S93,10)&gt; 800000,  ROUND(94000+ABS(MROUND(S93,10)- 800000)*0.3,0),0)))), IF(AND(OR(B93="2010-2011",B93="2011-2012"),$U$22="Female"), IF(MROUND(S93,10)&lt;= 190000, 0, IF(AND(MROUND(S93,10)&gt; 190000, MROUND(S93,10)&lt;= 500000), ROUND(ABS(MROUND(S93,10)- 190000)*0.1,0), IF(AND(MROUND(S93,10)&gt; 500000, MROUND(S93,10)&lt;= 800000),  ROUND(31000+ ABS(MROUND(S93,10)- 500000)*0.2,0),  IF(MROUND(S93,10)&gt; 800000,  ROUND(91000+ABS(MROUND(S93,10)- 800000)*0.3,0),0)))), IF(AND(B93="2011-2012", $U$22&lt;&gt;"Female"), IF(MROUND(S93,10)&lt;= 180000, 0, IF(AND(MROUND(S93,10)&gt; 180000, MROUND(S93,10)&lt;= 500000), ROUND(ABS(MROUND(S93,10)- 180000)*0.1,0), IF(AND(MROUND(S93,10)&gt; 500000, MROUND(S93,10)&lt;= 800000),  ROUND(32000+ ABS(MROUND(S93,10)- 500000)*0.2,0),  IF(MROUND(S93,10)&gt; 800000,  ROUND(92000+ABS(MROUND(S93,10)- 800000)*0.3,0),0)))), IF(OR(B93="2012-2013",B93="2013-2014"), IF(MROUND(S93,10)&lt;= 200000, 0, IF(AND(MROUND(S93,10)&gt; 200000, MROUND(S93,10)&lt;= 500000), ROUND(ABS(MROUND(S93,10)- 200000)*0.1,0), IF(AND(MROUND(S93,10)&gt; 500000, MROUND(S93,10)&lt;= 1000000),  ROUND(30000+ ABS(MROUND(S93,10)- 500000)*0.2,0),  IF(MROUND(S93,10)&gt; 1000000,  ROUND(130000+ABS(MROUND(S93,10)- 1000000)*0.3,0),0)))), IF(OR(B93="2014-2015", B93="2015-2016",B93="2016-2017"), IF(MROUND(S93,10)&lt;= 250000, 0, IF(AND(MROUND(S93,10)&gt; 250000, MROUND(S93,10)&lt;= 500000), ROUND(ABS(MROUND(S93,10)- 250000)*0.1,0), IF(AND(MROUND(S93,10)&gt; 500000, MROUND(S93,10)&lt;= 1000000),  ROUND(25000+ ABS(MROUND(S93,10)- 500000)*0.2,0),  IF(MROUND(S93,10)&gt; 1000000,  ROUND(125000+ABS(MROUND(S93,10)- 1000000)*0.3,0), 0)))),IF(OR(B93="2017-2018",B93="2018-2019",B93="2019-2020",AND(B93="2020-2021",'Basic Information'!$AG$22="No"),AND(B93="2021-2022",'Basic Information'!$AG$25="No"),AND(B93="2022-2023",'Basic Information'!$AG$28="No"),AND(B93="2023-2024",'Basic Information'!$AG$31="Yes")), IF(MROUND(S93,10)&lt;= 250000, 0, IF(AND(MROUND(S93,10)&gt; 250000, MROUND(S93,10)&lt;= 500000), ROUND(ABS(MROUND(S93,10)- 250000)*0.05,0), IF(AND(MROUND(S93,10)&gt; 500000, MROUND(S93,10)&lt;= 1000000),  ROUND(12500+ ABS(MROUND(S93,10)- 500000)*0.2,0),  IF(MROUND(S93,10)&gt; 1000000,  ROUND(112500+ABS(MROUND(S93,10)- 1000000)*0.3,0), 0)))),IF(OR(AND(B93="2020-2021",'Basic Information'!$AG$22="Yes"),AND(B93="2021-2022",'Basic Information'!$AG$25="Yes"),AND(B93="2022-2023",'Basic Information'!$AG$28="Yes")), IF(MROUND(S93,10)&lt;= 250000, 0, IF(AND(MROUND(S93,10)&gt; 250000, MROUND(S93,10)&lt;= 500000), ROUND(ABS(MROUND(S93,10)- 250000)*0.05,0), IF(AND(MROUND(S93,10)&gt; 500000, MROUND(S93,10)&lt;= 750000),  ROUND(12500+ ABS(MROUND(S93,10)- 500000)*0.1,0), IF(AND(MROUND(S93,10)&gt; 750000, MROUND(S93,10)&lt;= 1000000),  ROUND(37500+ ABS(MROUND(S93,10)- 750000)*0.15,0),IF(AND(MROUND(S93,10)&gt; 1000000, MROUND(S93,10)&lt;= 1250000),  ROUND(75000+ ABS(MROUND(S93,10)- 1000000)*0.2,0),IF(AND(MROUND(S93,10)&gt; 1250000, MROUND(S93,10)&lt;= 1500000),  ROUND(125000+ ABS(MROUND(S93,10)- 1250000)*0.25,0), IF(MROUND(S93,10)&gt; 1500000,  ROUND(187500+ABS(MROUND(S93,10)- 1500000)*0.3,0), 0))))))),IF(AND(B93="2023-2024",'Basic Information'!$AG$31="No"), IF(MROUND(S93,10)&lt;= 300000, 0, IF(AND(MROUND(S93,10)&gt; 300000, MROUND(S93,10)&lt;= 600000), ROUND(ABS(MROUND(S93,10)- 300000)*0.05,0), IF(AND(MROUND(S93,10)&gt; 600000, MROUND(S93,10)&lt;= 900000),  ROUND(15000+ ABS(MROUND(S93,10)- 600000)*0.1,0), IF(AND(MROUND(S93,10)&gt; 900000, MROUND(S93,10)&lt;= 1200000),  ROUND(45000+ ABS(MROUND(S93,10)- 900000)*0.15,0),IF(AND(MROUND(S93,10)&gt; 1200000, MROUND(S93,10)&lt;= 1500000),  ROUND(90000+ ABS(MROUND(S93,10)- 1200000)*0.2,0), IF(MROUND(S93,10)&gt; 1500000,  ROUND(150000+ABS(MROUND(S93,10)- 1500000)*0.3,0), 0)))))),0))))))))))))))))</f>
        <v>0</v>
      </c>
      <c r="AY93" s="6">
        <f>IF(OR(B93="2013-2014",B93="2014-2015",B93="2015-2016"),IF(AND(MROUND(S93,10)&lt;=500000,MROUND(S93,10)&lt;&gt;0),IF(AX93&lt;=2000, AX93,2000),0), IF(B93="2016-2017",IF(AND(MROUND(S93,10)&lt;=500000,MROUND(S93,10)&lt;&gt;0),IF(AX93&lt;=5000, AX93,5000),0), IF(OR(B93="2017-2018",B93="2018-2019"),IF(AND(MROUND(S93,10)&lt;=350000,MROUND(S93,10)&lt;&gt;0),IF(AX93&lt;=2500, AX93,2500),0), IF(OR(B93="2019-2020",B93="2020-2021",B93="2021-2022",B93="2022-2023",AND(B93="2023-2024",'Basic Information'!$AG$31="Yes")),IF(AND(MROUND(S93,10)&lt;=500000,MROUND(S93,10)&lt;&gt;0),IF(AX93&lt;=12500, AX93,12500),0), IF(OR(AND(B93="2023-2024",'Basic Information'!$AG$31="No")),IF(AND(MROUND(S93,10)&lt;=700000,MROUND(S93,10)&lt;&gt;0),IF(AX93&lt;=25000, AX93,25000),IF(AND(MROUND(S93,10)&lt;&gt;0,(MROUND(S93,10)-700000)&lt;= AX93), AX93-(MROUND(S93,10)-700000),0)),0)))))</f>
        <v>0</v>
      </c>
      <c r="AZ93" s="6">
        <f t="shared" ref="AZ93:AZ101" si="7">IF((AX93&lt;AY93),0,ROUND(ABS(AX93- AY93),0))</f>
        <v>0</v>
      </c>
      <c r="BA93" s="6">
        <f t="shared" ref="BA93:BA101" si="8">IF(OR(B93="2005-2006",B93="2006-2007"),ROUND(AZ93*0.02,0),IF(OR(B93="2018-2019",B93="2019-2020",B93="2020-2021",B93="2021-2022",B93="2022-2023",B93="2023-2024"),ROUND(AZ93*0.04,0),ROUND(AZ93*0.03,0)))</f>
        <v>0</v>
      </c>
    </row>
    <row r="94" spans="2:53" x14ac:dyDescent="0.3">
      <c r="B94" s="342"/>
      <c r="C94" s="343"/>
      <c r="D94" s="343"/>
      <c r="E94" s="343"/>
      <c r="F94" s="344"/>
      <c r="G94" s="345"/>
      <c r="H94" s="346"/>
      <c r="I94" s="346"/>
      <c r="J94" s="346"/>
      <c r="K94" s="346"/>
      <c r="L94" s="347"/>
      <c r="M94" s="345"/>
      <c r="N94" s="346"/>
      <c r="O94" s="346"/>
      <c r="P94" s="346"/>
      <c r="Q94" s="346"/>
      <c r="R94" s="347"/>
      <c r="S94" s="335">
        <f t="shared" si="1"/>
        <v>0</v>
      </c>
      <c r="T94" s="336"/>
      <c r="U94" s="336"/>
      <c r="V94" s="336"/>
      <c r="W94" s="336"/>
      <c r="X94" s="337"/>
      <c r="Y94" s="335">
        <f t="shared" si="2"/>
        <v>0</v>
      </c>
      <c r="Z94" s="336"/>
      <c r="AA94" s="336"/>
      <c r="AB94" s="336"/>
      <c r="AC94" s="336"/>
      <c r="AD94" s="337"/>
      <c r="AE94" s="335">
        <f t="shared" si="3"/>
        <v>0</v>
      </c>
      <c r="AF94" s="336"/>
      <c r="AG94" s="336"/>
      <c r="AH94" s="336"/>
      <c r="AI94" s="336"/>
      <c r="AJ94" s="338"/>
      <c r="AK94" s="339">
        <f t="shared" si="4"/>
        <v>0</v>
      </c>
      <c r="AL94" s="340"/>
      <c r="AM94" s="340"/>
      <c r="AN94" s="340"/>
      <c r="AO94" s="340"/>
      <c r="AP94" s="341"/>
      <c r="AQ94" s="38" t="str">
        <f>IF(AND(OR(NOT(ISBLANK(G94)),NOT(ISBLANK(M94))),OR(ISBLANK(B94),B94="Select")),"Please select a Financial Year","")</f>
        <v/>
      </c>
      <c r="AT94" s="6">
        <f>IF( AND(OR(B94="2005-2006",B94="2006-2007"),$U$22&lt;&gt;"Female"),IF( MROUND(G94,10)&lt;= 100000, 0, IF(AND(MROUND(G94,10)&gt; 100000,MROUND(G94,10)&lt;= 150000),  ROUND(ABS(MROUND(G94,10)- 100000)*0.1,0), IF(AND(MROUND(G94,10)&gt; 150000, MROUND(G94,10)&lt;= 250000), ROUND(5000+ ABS(MROUND(G94,10)- 150000)*0.2,0),IF(MROUND(G94,10)&gt; 250000,  ROUND(25000+ABS(MROUND(G94,10)- 250000)*0.3,0),  0)))),IF(AND(OR(B94="2005-2006",B94="2006-2007"),$U$22="Female"),IF(MROUND(G94,10)&lt;= 135000, 0, IF(AND(MROUND(G94,10)&gt; 135000, MROUND(G94,10)&lt;= 150000), ROUND(ABS(MROUND(G94,10)- 135000)*0.1,0), IF(AND(MROUND(G94,10)&gt; 150000, MROUND(G94,10)&lt;= 250000), ROUND(1500+ ABS(MROUND(G94,10)- 150000)*0.2,0),  IF(MROUND(G94,10)&gt; 250000, ROUND(21500+ABS(MROUND(G94,10)- 250000)*0.3,0),0)))),IF(AND(B94="2007-2008",$U$22&lt;&gt;"Female"), IF(MROUND(G94,10)&lt;= 110000,  0,  IF(AND(MROUND(G94,10)&gt; 110000, MROUND(G94,10)&lt;= 150000), ROUND(ABS(MROUND(G94,10)- 110000)*0.1,0),  IF(AND(MROUND(G94,10)&gt; 150000, MROUND(G94,10)&lt;= 250000),  ROUND(4000+ ABS(MROUND(G94,10)- 150000)*0.2,0),   IF(MROUND(G94,10)&gt; 250000,   ROUND(24000+ABS(MROUND(G94,10)- 250000)*0.3,0),0)))),IF(AND(B94="2007-2008",$U$22="Female"), IF(MROUND(G94,10)&lt;= 145000, 0, IF(AND(MROUND(G94,10)&gt; 145000, MROUND(G94,10)&lt;= 150000),     ROUND(ABS(MROUND(G94,10)- 145000)*0.1,0),  IF(AND(MROUND(G94,10)&gt; 150000, MROUND(G94,10)&lt;= 250000),  ROUND(500+ ABS(MROUND(G94,10)- 150000)*0.2,0),  IF(MROUND(G94,10)&gt; 250000, ROUND(20500+ABS(MROUND(G94,10)- 250000)*0.3,0),0)))), IF(AND(B94="2008-2009",$U$22&lt;&gt;"Female"), IF(MROUND(G94,10)&lt;= 150000, 0, IF(AND(MROUND(G94,10)&gt; 150000, MROUND(G94,10)&lt;= 300000), ROUND(ABS(MROUND(G94,10)- 150000)*0.1,0), IF(AND(MROUND(G94,10)&gt; 300000, MROUND(G94,10)&lt;= 500000),  ROUND(15000+ ABS(MROUND(G94,10)- 300000)*0.2,0),  IF(MROUND(G94,10)&gt; 500000,  ROUND(55000+ABS(MROUND(G94,10)- 500000)*0.3,0),0)))), IF(AND(B94="2008-2009",$U$22="Female"), IF(MROUND(G94,10)&lt;= 180000, 0, IF(AND(MROUND(G94,10)&gt; 180000, MROUND(G94,10)&lt;= 300000), ROUND(ABS(MROUND(G94,10)- 180000)*0.1,0), IF(AND(MROUND(G94,10)&gt; 300000, MROUND(G94,10)&lt;= 500000), ROUND(12000+ ABS(MROUND(G94,10)- 300000)*0.2,0),  IF(MROUND(G94,10)&gt; 500000,  ROUND(52000+ABS(MROUND(G94,10)- 500000)*0.3,0),0)))), IF(AND(B94="2009-2010", $U$22&lt;&gt;"Female"), IF(MROUND(G94,10)&lt;= 160000, 0, IF(AND(MROUND(G94,10)&gt; 160000, MROUND(G94,10)&lt;= 300000),ROUND(ABS(MROUND(G94,10)- 160000)*0.1,0), IF(AND(MROUND(G94,10)&gt; 300000, MROUND(G94,10)&lt;= 500000),ROUND(14000+ ABS(MROUND(G94,10)- 300000)*0.2,0),  IF(MROUND(G94,10)&gt; 500000, ROUND(54000+ABS(MROUND(G94,10)- 500000)*0.3,0),0)))),IF(AND(B94="2009-2010",$U$22="Female"), IF(MROUND(G94,10)&lt;= 190000, 0, IF(AND(MROUND(G94,10)&gt; 190000, MROUND(G94,10)&lt;= 300000),ROUND(ABS(MROUND(G94,10)- 190000)*0.1,0), IF(AND(MROUND(G94,10)&gt; 300000, MROUND(G94,10)&lt;= 500000), ROUND(11000+ ABS(MROUND(G94,10)- 300000)*0.2,0),IF(MROUND(G94,10)&gt; 500000,  ROUND(51000+ABS(MROUND(G94,10)- 500000)*0.3,0),0)))), IF(AND(B94="2010-2011",$U$22&lt;&gt;"Female"), IF(MROUND(G94,10)&lt;= 160000, 0, IF(AND(MROUND(G94,10)&gt; 160000, MROUND(G94,10)&lt;= 500000), ROUND(ABS(MROUND(G94,10)- 160000)*0.1,0), IF(AND(MROUND(G94,10)&gt; 500000, MROUND(G94,10)&lt;= 800000), ROUND(34000+ ABS(MROUND(G94,10)- 500000)*0.2,0),  IF(MROUND(G94,10)&gt; 800000,  ROUND(94000+ABS(MROUND(G94,10)- 800000)*0.3,0),0)))), IF(AND(OR(B94="2010-2011",B94="2011-2012"),$U$22="Female"), IF(MROUND(G94,10)&lt;= 190000, 0, IF(AND(MROUND(G94,10)&gt; 190000, MROUND(G94,10)&lt;= 500000), ROUND(ABS(MROUND(G94,10)- 190000)*0.1,0), IF(AND(MROUND(G94,10)&gt; 500000, MROUND(G94,10)&lt;= 800000),  ROUND(31000+ ABS(MROUND(G94,10)- 500000)*0.2,0),  IF(MROUND(G94,10)&gt; 800000,  ROUND(91000+ABS(MROUND(G94,10)- 800000)*0.3,0),0)))), IF(AND(B94="2011-2012", $U$22&lt;&gt;"Female"), IF(MROUND(G94,10)&lt;= 180000, 0, IF(AND(MROUND(G94,10)&gt; 180000, MROUND(G94,10)&lt;= 500000), ROUND(ABS(MROUND(G94,10)- 180000)*0.1,0), IF(AND(MROUND(G94,10)&gt; 500000, MROUND(G94,10)&lt;= 800000),  ROUND(32000+ ABS(MROUND(G94,10)- 500000)*0.2,0),  IF(MROUND(G94,10)&gt; 800000,  ROUND(92000+ABS(MROUND(G94,10)- 800000)*0.3,0),0)))), IF(OR(B94="2012-2013",B94="2013-2014"), IF(MROUND(G94,10)&lt;= 200000, 0, IF(AND(MROUND(G94,10)&gt; 200000, MROUND(G94,10)&lt;= 500000), ROUND(ABS(MROUND(G94,10)- 200000)*0.1,0), IF(AND(MROUND(G94,10)&gt; 500000, MROUND(G94,10)&lt;= 1000000),  ROUND(30000+ ABS(MROUND(G94,10)- 500000)*0.2,0),  IF(MROUND(G94,10)&gt; 1000000,  ROUND(130000+ABS(MROUND(G94,10)- 1000000)*0.3,0),0)))), IF(OR(B94="2014-2015", B94="2015-2016",B94="2016-2017"), IF(MROUND(G94,10)&lt;= 250000, 0, IF(AND(MROUND(G94,10)&gt; 250000, MROUND(G94,10)&lt;= 500000), ROUND(ABS(MROUND(G94,10)- 250000)*0.1,0), IF(AND(MROUND(G94,10)&gt; 500000, MROUND(G94,10)&lt;= 1000000),  ROUND(25000+ ABS(MROUND(G94,10)- 500000)*0.2,0),  IF(MROUND(G94,10)&gt; 1000000,  ROUND(125000+ABS(MROUND(G94,10)- 1000000)*0.3,0), 0)))), IF(OR(B94="2017-2018",B94="2018-2019",B94="2019-2020",AND(B94="2020-2021",'Basic Information'!$AG$22="No"),AND(B94="2021-2022",'Basic Information'!$AG$25="No"),AND(B94="2022-2023",'Basic Information'!$AG$28="No"),AND(B94="2023-2024",'Basic Information'!$AG$31="Yes")), IF(MROUND(G94,10)&lt;= 250000, 0, IF(AND(MROUND(G94,10)&gt; 250000, MROUND(G94,10)&lt;= 500000), ROUND(ABS(MROUND(G94,10)- 250000)*0.05,0), IF(AND(MROUND(G94,10)&gt; 500000, MROUND(G94,10)&lt;= 1000000),  ROUND(12500+ ABS(MROUND(G94,10)- 500000)*0.2,0),  IF(MROUND(G94,10)&gt; 1000000,  ROUND(112500+ABS(MROUND(G94,10)- 1000000)*0.3,0), 0)))),IF(OR(AND(B94="2020-2021",'Basic Information'!$AG$22="Yes"),AND(B94="2021-2022",'Basic Information'!$AG$25="Yes"),AND(B94="2022-2023",'Basic Information'!$AG$28="Yes")), IF(MROUND(G94,10)&lt;= 250000, 0, IF(AND(MROUND(G94,10)&gt; 250000, MROUND(G94,10)&lt;= 500000), ROUND(ABS(MROUND(G94,10)- 250000)*0.05,0), IF(AND(MROUND(G94,10)&gt; 500000, MROUND(G94,10)&lt;= 750000),  ROUND(12500+ ABS(MROUND(G94,10)- 500000)*0.1,0), IF(AND(MROUND(G94,10)&gt; 750000, MROUND(G94,10)&lt;= 1000000),  ROUND(37500+ ABS(MROUND(G94,10)- 750000)*0.15,0),IF(AND(MROUND(G94,10)&gt; 1000000, MROUND(G94,10)&lt;= 1250000),  ROUND(75000+ ABS(MROUND(G94,10)- 1000000)*0.2,0),IF(AND(MROUND(G94,10)&gt; 1250000, MROUND(G94,10)&lt;= 1500000),  ROUND(125000+ ABS(MROUND(G94,10)- 1250000)*0.25,0), IF(MROUND(G94,10)&gt; 1500000,  ROUND(187500+ABS(MROUND(G94,10)- 1500000)*0.3,0), 0))))))),IF(AND(B94="2023-2024",'Basic Information'!$AG$31="No"), IF(MROUND(G94,10)&lt;= 300000, 0, IF(AND(MROUND(G94,10)&gt; 300000, MROUND(G94,10)&lt;= 600000), ROUND(ABS(MROUND(G94,10)- 300000)*0.05,0), IF(AND(MROUND(G94,10)&gt; 600000, MROUND(G94,10)&lt;= 900000),  ROUND(15000+ ABS(MROUND(G94,10)- 600000)*0.1,0), IF(AND(MROUND(G94,10)&gt; 900000, MROUND(G94,10)&lt;= 1200000),  ROUND(45000+ ABS(MROUND(G94,10)- 900000)*0.15,0),IF(AND(MROUND(G94,10)&gt; 1200000, MROUND(G94,10)&lt;= 1500000),  ROUND(90000+ ABS(MROUND(G94,10)- 1200000)*0.2,0), IF(MROUND(G94,10)&gt; 1500000,  ROUND(150000+ABS(MROUND(G94,10)- 1500000)*0.3,0), 0)))))),0))))))))))))))))</f>
        <v>0</v>
      </c>
      <c r="AU94" s="6">
        <f>IF(OR(B94="2013-2014",B94="2014-2015",B94="2015-2016"),IF(AND(MROUND(G94,10)&lt;=500000,MROUND(G94,10)&lt;&gt;0),IF(AT94&lt;=2000, AT94,2000),0), IF(B94="2016-2017",IF(AND(MROUND(G94,10)&lt;=500000,MROUND(G94,10)&lt;&gt;0),IF(AT94&lt;=5000, AT94,5000),0), IF(OR(B94="2017-2018",B94="2018-2019"),IF(AND(MROUND(G94,10)&lt;=350000,MROUND(G94,10)&lt;&gt;0),IF(AT94&lt;=2500, AT94,2500),0), IF(OR(B94="2019-2020",B94="2020-2021",B94="2021-2022",B94="2022-2023",AND(B94="2023-2024",'Basic Information'!$AG$31="Yes")),IF(AND(MROUND(G94,10)&lt;=500000,MROUND(G94,10)&lt;&gt;0),IF(AT94&lt;=12500, AT94,12500),0), IF(OR(AND(B94="2023-2024",'Basic Information'!$AG$31="No")),IF(AND(MROUND(G94,10)&lt;=700000,MROUND(G94,10)&lt;&gt;0),IF(AT94&lt;=25000, AT94,25000),IF(AND(MROUND(G94,10)&lt;&gt;0,(MROUND(G94,10)-700000)&lt;=AT94),AT94-(MROUND(G94,10)-700000),0)),0)))))</f>
        <v>0</v>
      </c>
      <c r="AV94" s="6">
        <f t="shared" si="5"/>
        <v>0</v>
      </c>
      <c r="AW94" s="6">
        <f t="shared" si="6"/>
        <v>0</v>
      </c>
      <c r="AX94" s="6">
        <f>IF( AND(OR(B94="2005-2006",B94="2006-2007"),$U$22&lt;&gt;"Female"),IF( MROUND(S94,10)&lt;= 100000, 0, IF(AND(MROUND(S94,10)&gt; 100000,MROUND(S94,10)&lt;= 150000),  ROUND(ABS(MROUND(S94,10)- 100000)*0.1,0), IF(AND(MROUND(S94,10)&gt; 150000, MROUND(S94,10)&lt;= 250000), ROUND(5000+ ABS(MROUND(S94,10)- 150000)*0.2,0),IF(MROUND(S94,10)&gt; 250000,  ROUND(25000+ABS(MROUND(S94,10)- 250000)*0.3,0),  0)))),IF(AND(OR(B94="2005-2006",B94="2006-2007"),$U$22="Female"),IF(MROUND(S94,10)&lt;= 135000, 0, IF(AND(MROUND(S94,10)&gt; 135000, MROUND(S94,10)&lt;= 150000), ROUND(ABS(MROUND(S94,10)- 135000)*0.1,0), IF(AND(MROUND(S94,10)&gt; 150000, MROUND(S94,10)&lt;= 250000), ROUND(1500+ ABS(MROUND(S94,10)- 150000)*0.2,0),  IF(MROUND(S94,10)&gt; 250000, ROUND(21500+ABS(MROUND(S94,10)- 250000)*0.3,0),0)))),IF(AND(B94="2007-2008",$U$22&lt;&gt;"Female"), IF(MROUND(S94,10)&lt;= 110000,  0,  IF(AND(MROUND(S94,10)&gt; 110000, MROUND(S94,10)&lt;= 150000),     ROUND(ABS(MROUND(S94,10)- 110000)*0.1,0),  IF(AND(MROUND(S94,10)&gt; 150000, MROUND(S94,10)&lt;= 250000),  ROUND(4000+ ABS(MROUND(S94,10)- 150000)*0.2,0),   IF(MROUND(S94,10)&gt; 250000,   ROUND(24000+ABS(MROUND(S94,10)- 250000)*0.3,0),0)))),IF(AND(B94="2007-2008",$U$22="Female"), IF(MROUND(S94,10)&lt;= 145000, 0, IF(AND(MROUND(S94,10)&gt; 145000, MROUND(S94,10)&lt;= 150000),     ROUND(ABS(MROUND(S94,10)- 145000)*0.1,0),  IF(AND(MROUND(S94,10)&gt; 150000, MROUND(S94,10)&lt;= 250000),  ROUND(500+ ABS(MROUND(S94,10)- 150000)*0.2,0),  IF(MROUND(S94,10)&gt; 250000, ROUND(20500+ABS(MROUND(S94,10)- 250000)*0.3,0),0)))), IF(AND(B94="2008-2009",$U$22&lt;&gt;"Female"), IF(MROUND(S94,10)&lt;= 150000, 0, IF(AND(MROUND(S94,10)&gt; 150000, MROUND(S94,10)&lt;= 300000), ROUND(ABS(MROUND(S94,10)- 150000)*0.1,0), IF(AND(MROUND(S94,10)&gt; 300000, MROUND(S94,10)&lt;= 500000),  ROUND(15000+ ABS(MROUND(S94,10)- 300000)*0.2,0),  IF(MROUND(S94,10)&gt; 500000,  ROUND(55000+ABS(MROUND(S94,10)- 500000)*0.3,0),0)))), IF(AND(B94="2008-2009",$U$22="Female"), IF(MROUND(S94,10)&lt;= 180000, 0, IF(AND(MROUND(S94,10)&gt; 180000, MROUND(S94,10)&lt;= 300000), ROUND(ABS(MROUND(S94,10)- 180000)*0.1,0), IF(AND(MROUND(S94,10)&gt; 300000, MROUND(S94,10)&lt;= 500000), ROUND(12000+ ABS(MROUND(S94,10)- 300000)*0.2,0),  IF(MROUND(S94,10)&gt; 500000,  ROUND(52000+ABS(MROUND(S94,10)- 500000)*0.3,0),0)))), IF(AND(B94="2009-2010", $U$22&lt;&gt;"Female"), IF(MROUND(S94,10)&lt;= 160000, 0, IF(AND(MROUND(S94,10)&gt; 160000, MROUND(S94,10)&lt;= 300000),ROUND(ABS(MROUND(S94,10)- 160000)*0.1,0), IF(AND(MROUND(S94,10)&gt; 300000, MROUND(S94,10)&lt;= 500000),ROUND(14000+ ABS(MROUND(S94,10)- 300000)*0.2,0),  IF(MROUND(S94,10)&gt; 500000, ROUND(54000+ABS(MROUND(S94,10)- 500000)*0.3,0),0)))),IF(AND(B94="2009-2010",$U$22="Female"), IF(MROUND(S94,10)&lt;= 190000, 0, IF(AND(MROUND(S94,10)&gt; 190000, MROUND(S94,10)&lt;= 300000),ROUND(ABS(MROUND(S94,10)- 190000)*0.1,0), IF(AND(MROUND(S94,10)&gt; 300000, MROUND(S94,10)&lt;= 500000), ROUND(11000+ ABS(MROUND(S94,10)- 300000)*0.2,0),IF(MROUND(S94,10)&gt; 500000,  ROUND(51000+ABS(MROUND(S94,10)- 500000)*0.3,0),0)))), IF(AND(B94="2010-2011",$U$22&lt;&gt;"Female"), IF(MROUND(S94,10)&lt;= 160000, 0, IF(AND(MROUND(S94,10)&gt; 160000, MROUND(S94,10)&lt;= 500000), ROUND(ABS(MROUND(S94,10)- 160000)*0.1,0), IF(AND(MROUND(S94,10)&gt; 500000, MROUND(S94,10)&lt;= 800000), ROUND(34000+ ABS(MROUND(S94,10)- 500000)*0.2,0),  IF(MROUND(S94,10)&gt; 800000,  ROUND(94000+ABS(MROUND(S94,10)- 800000)*0.3,0),0)))), IF(AND(OR(B94="2010-2011",B94="2011-2012"),$U$22="Female"), IF(MROUND(S94,10)&lt;= 190000, 0, IF(AND(MROUND(S94,10)&gt; 190000, MROUND(S94,10)&lt;= 500000), ROUND(ABS(MROUND(S94,10)- 190000)*0.1,0), IF(AND(MROUND(S94,10)&gt; 500000, MROUND(S94,10)&lt;= 800000),  ROUND(31000+ ABS(MROUND(S94,10)- 500000)*0.2,0),  IF(MROUND(S94,10)&gt; 800000,  ROUND(91000+ABS(MROUND(S94,10)- 800000)*0.3,0),0)))), IF(AND(B94="2011-2012", $U$22&lt;&gt;"Female"), IF(MROUND(S94,10)&lt;= 180000, 0, IF(AND(MROUND(S94,10)&gt; 180000, MROUND(S94,10)&lt;= 500000), ROUND(ABS(MROUND(S94,10)- 180000)*0.1,0), IF(AND(MROUND(S94,10)&gt; 500000, MROUND(S94,10)&lt;= 800000),  ROUND(32000+ ABS(MROUND(S94,10)- 500000)*0.2,0),  IF(MROUND(S94,10)&gt; 800000,  ROUND(92000+ABS(MROUND(S94,10)- 800000)*0.3,0),0)))), IF(OR(B94="2012-2013",B94="2013-2014"), IF(MROUND(S94,10)&lt;= 200000, 0, IF(AND(MROUND(S94,10)&gt; 200000, MROUND(S94,10)&lt;= 500000), ROUND(ABS(MROUND(S94,10)- 200000)*0.1,0), IF(AND(MROUND(S94,10)&gt; 500000, MROUND(S94,10)&lt;= 1000000),  ROUND(30000+ ABS(MROUND(S94,10)- 500000)*0.2,0),  IF(MROUND(S94,10)&gt; 1000000,  ROUND(130000+ABS(MROUND(S94,10)- 1000000)*0.3,0),0)))), IF(OR(B94="2014-2015", B94="2015-2016",B94="2016-2017"), IF(MROUND(S94,10)&lt;= 250000, 0, IF(AND(MROUND(S94,10)&gt; 250000, MROUND(S94,10)&lt;= 500000), ROUND(ABS(MROUND(S94,10)- 250000)*0.1,0), IF(AND(MROUND(S94,10)&gt; 500000, MROUND(S94,10)&lt;= 1000000),  ROUND(25000+ ABS(MROUND(S94,10)- 500000)*0.2,0),  IF(MROUND(S94,10)&gt; 1000000,  ROUND(125000+ABS(MROUND(S94,10)- 1000000)*0.3,0), 0)))),IF(OR(B94="2017-2018",B94="2018-2019",B94="2019-2020",AND(B94="2020-2021",'Basic Information'!$AG$22="No"),AND(B94="2021-2022",'Basic Information'!$AG$25="No"),AND(B94="2022-2023",'Basic Information'!$AG$28="No"),AND(B94="2023-2024",'Basic Information'!$AG$31="Yes")), IF(MROUND(S94,10)&lt;= 250000, 0, IF(AND(MROUND(S94,10)&gt; 250000, MROUND(S94,10)&lt;= 500000), ROUND(ABS(MROUND(S94,10)- 250000)*0.05,0), IF(AND(MROUND(S94,10)&gt; 500000, MROUND(S94,10)&lt;= 1000000),  ROUND(12500+ ABS(MROUND(S94,10)- 500000)*0.2,0),  IF(MROUND(S94,10)&gt; 1000000,  ROUND(112500+ABS(MROUND(S94,10)- 1000000)*0.3,0), 0)))),IF(OR(AND(B94="2020-2021",'Basic Information'!$AG$22="Yes"),AND(B94="2021-2022",'Basic Information'!$AG$25="Yes"),AND(B94="2022-2023",'Basic Information'!$AG$28="Yes")), IF(MROUND(S94,10)&lt;= 250000, 0, IF(AND(MROUND(S94,10)&gt; 250000, MROUND(S94,10)&lt;= 500000), ROUND(ABS(MROUND(S94,10)- 250000)*0.05,0), IF(AND(MROUND(S94,10)&gt; 500000, MROUND(S94,10)&lt;= 750000),  ROUND(12500+ ABS(MROUND(S94,10)- 500000)*0.1,0), IF(AND(MROUND(S94,10)&gt; 750000, MROUND(S94,10)&lt;= 1000000),  ROUND(37500+ ABS(MROUND(S94,10)- 750000)*0.15,0),IF(AND(MROUND(S94,10)&gt; 1000000, MROUND(S94,10)&lt;= 1250000),  ROUND(75000+ ABS(MROUND(S94,10)- 1000000)*0.2,0),IF(AND(MROUND(S94,10)&gt; 1250000, MROUND(S94,10)&lt;= 1500000),  ROUND(125000+ ABS(MROUND(S94,10)- 1250000)*0.25,0), IF(MROUND(S94,10)&gt; 1500000,  ROUND(187500+ABS(MROUND(S94,10)- 1500000)*0.3,0), 0))))))),IF(AND(B94="2023-2024",'Basic Information'!$AG$31="No"), IF(MROUND(S94,10)&lt;= 300000, 0, IF(AND(MROUND(S94,10)&gt; 300000, MROUND(S94,10)&lt;= 600000), ROUND(ABS(MROUND(S94,10)- 300000)*0.05,0), IF(AND(MROUND(S94,10)&gt; 600000, MROUND(S94,10)&lt;= 900000),  ROUND(15000+ ABS(MROUND(S94,10)- 600000)*0.1,0), IF(AND(MROUND(S94,10)&gt; 900000, MROUND(S94,10)&lt;= 1200000),  ROUND(45000+ ABS(MROUND(S94,10)- 900000)*0.15,0),IF(AND(MROUND(S94,10)&gt; 1200000, MROUND(S94,10)&lt;= 1500000),  ROUND(90000+ ABS(MROUND(S94,10)- 1200000)*0.2,0), IF(MROUND(S94,10)&gt; 1500000,  ROUND(150000+ABS(MROUND(S94,10)- 1500000)*0.3,0), 0)))))),0))))))))))))))))</f>
        <v>0</v>
      </c>
      <c r="AY94" s="6">
        <f>IF(OR(B94="2013-2014",B94="2014-2015",B94="2015-2016"),IF(AND(MROUND(S94,10)&lt;=500000,MROUND(S94,10)&lt;&gt;0),IF(AX94&lt;=2000, AX94,2000),0), IF(B94="2016-2017",IF(AND(MROUND(S94,10)&lt;=500000,MROUND(S94,10)&lt;&gt;0),IF(AX94&lt;=5000, AX94,5000),0), IF(OR(B94="2017-2018",B94="2018-2019"),IF(AND(MROUND(S94,10)&lt;=350000,MROUND(S94,10)&lt;&gt;0),IF(AX94&lt;=2500, AX94,2500),0), IF(OR(B94="2019-2020",B94="2020-2021",B94="2021-2022",B94="2022-2023",AND(B94="2023-2024",'Basic Information'!$AG$31="Yes")),IF(AND(MROUND(S94,10)&lt;=500000,MROUND(S94,10)&lt;&gt;0),IF(AX94&lt;=12500, AX94,12500),0), IF(OR(AND(B94="2023-2024",'Basic Information'!$AG$31="No")),IF(AND(MROUND(S94,10)&lt;=700000,MROUND(S94,10)&lt;&gt;0),IF(AX94&lt;=25000, AX94,25000),IF(AND(MROUND(S94,10)&lt;&gt;0,(MROUND(S94,10)-700000)&lt;= AX94), AX94-(MROUND(S94,10)-700000),0)),0)))))</f>
        <v>0</v>
      </c>
      <c r="AZ94" s="6">
        <f t="shared" si="7"/>
        <v>0</v>
      </c>
      <c r="BA94" s="6">
        <f t="shared" si="8"/>
        <v>0</v>
      </c>
    </row>
    <row r="95" spans="2:53" x14ac:dyDescent="0.3">
      <c r="B95" s="342"/>
      <c r="C95" s="343"/>
      <c r="D95" s="343"/>
      <c r="E95" s="343"/>
      <c r="F95" s="344"/>
      <c r="G95" s="345"/>
      <c r="H95" s="346"/>
      <c r="I95" s="346"/>
      <c r="J95" s="346"/>
      <c r="K95" s="346"/>
      <c r="L95" s="347"/>
      <c r="M95" s="345"/>
      <c r="N95" s="346"/>
      <c r="O95" s="346"/>
      <c r="P95" s="346"/>
      <c r="Q95" s="346"/>
      <c r="R95" s="347"/>
      <c r="S95" s="335">
        <f t="shared" si="1"/>
        <v>0</v>
      </c>
      <c r="T95" s="336"/>
      <c r="U95" s="336"/>
      <c r="V95" s="336"/>
      <c r="W95" s="336"/>
      <c r="X95" s="337"/>
      <c r="Y95" s="335">
        <f t="shared" si="2"/>
        <v>0</v>
      </c>
      <c r="Z95" s="336"/>
      <c r="AA95" s="336"/>
      <c r="AB95" s="336"/>
      <c r="AC95" s="336"/>
      <c r="AD95" s="337"/>
      <c r="AE95" s="335">
        <f t="shared" si="3"/>
        <v>0</v>
      </c>
      <c r="AF95" s="336"/>
      <c r="AG95" s="336"/>
      <c r="AH95" s="336"/>
      <c r="AI95" s="336"/>
      <c r="AJ95" s="338"/>
      <c r="AK95" s="339">
        <f t="shared" si="4"/>
        <v>0</v>
      </c>
      <c r="AL95" s="340"/>
      <c r="AM95" s="340"/>
      <c r="AN95" s="340"/>
      <c r="AO95" s="340"/>
      <c r="AP95" s="341"/>
      <c r="AQ95" s="38" t="str">
        <f t="shared" ref="AQ95:AQ101" si="9">IF(AND(OR(NOT(ISBLANK(G95)),NOT(ISBLANK(M95))),OR(ISBLANK(B95),B95="Select")),"Please select a Financial Year","")</f>
        <v/>
      </c>
      <c r="AT95" s="6">
        <f>IF( AND(OR(B95="2005-2006",B95="2006-2007"),$U$22&lt;&gt;"Female"),IF( MROUND(G95,10)&lt;= 100000, 0, IF(AND(MROUND(G95,10)&gt; 100000,MROUND(G95,10)&lt;= 150000),  ROUND(ABS(MROUND(G95,10)- 100000)*0.1,0), IF(AND(MROUND(G95,10)&gt; 150000, MROUND(G95,10)&lt;= 250000), ROUND(5000+ ABS(MROUND(G95,10)- 150000)*0.2,0),IF(MROUND(G95,10)&gt; 250000,  ROUND(25000+ABS(MROUND(G95,10)- 250000)*0.3,0),  0)))),IF(AND(OR(B95="2005-2006",B95="2006-2007"),$U$22="Female"),IF(MROUND(G95,10)&lt;= 135000, 0, IF(AND(MROUND(G95,10)&gt; 135000, MROUND(G95,10)&lt;= 150000), ROUND(ABS(MROUND(G95,10)- 135000)*0.1,0), IF(AND(MROUND(G95,10)&gt; 150000, MROUND(G95,10)&lt;= 250000), ROUND(1500+ ABS(MROUND(G95,10)- 150000)*0.2,0),  IF(MROUND(G95,10)&gt; 250000, ROUND(21500+ABS(MROUND(G95,10)- 250000)*0.3,0),0)))),IF(AND(B95="2007-2008",$U$22&lt;&gt;"Female"), IF(MROUND(G95,10)&lt;= 110000,  0,  IF(AND(MROUND(G95,10)&gt; 110000, MROUND(G95,10)&lt;= 150000), ROUND(ABS(MROUND(G95,10)- 110000)*0.1,0),  IF(AND(MROUND(G95,10)&gt; 150000, MROUND(G95,10)&lt;= 250000),  ROUND(4000+ ABS(MROUND(G95,10)- 150000)*0.2,0),   IF(MROUND(G95,10)&gt; 250000,   ROUND(24000+ABS(MROUND(G95,10)- 250000)*0.3,0),0)))),IF(AND(B95="2007-2008",$U$22="Female"), IF(MROUND(G95,10)&lt;= 145000, 0, IF(AND(MROUND(G95,10)&gt; 145000, MROUND(G95,10)&lt;= 150000),     ROUND(ABS(MROUND(G95,10)- 145000)*0.1,0),  IF(AND(MROUND(G95,10)&gt; 150000, MROUND(G95,10)&lt;= 250000),  ROUND(500+ ABS(MROUND(G95,10)- 150000)*0.2,0),  IF(MROUND(G95,10)&gt; 250000, ROUND(20500+ABS(MROUND(G95,10)- 250000)*0.3,0),0)))), IF(AND(B95="2008-2009",$U$22&lt;&gt;"Female"), IF(MROUND(G95,10)&lt;= 150000, 0, IF(AND(MROUND(G95,10)&gt; 150000, MROUND(G95,10)&lt;= 300000), ROUND(ABS(MROUND(G95,10)- 150000)*0.1,0), IF(AND(MROUND(G95,10)&gt; 300000, MROUND(G95,10)&lt;= 500000),  ROUND(15000+ ABS(MROUND(G95,10)- 300000)*0.2,0),  IF(MROUND(G95,10)&gt; 500000,  ROUND(55000+ABS(MROUND(G95,10)- 500000)*0.3,0),0)))), IF(AND(B95="2008-2009",$U$22="Female"), IF(MROUND(G95,10)&lt;= 180000, 0, IF(AND(MROUND(G95,10)&gt; 180000, MROUND(G95,10)&lt;= 300000), ROUND(ABS(MROUND(G95,10)- 180000)*0.1,0), IF(AND(MROUND(G95,10)&gt; 300000, MROUND(G95,10)&lt;= 500000), ROUND(12000+ ABS(MROUND(G95,10)- 300000)*0.2,0),  IF(MROUND(G95,10)&gt; 500000,  ROUND(52000+ABS(MROUND(G95,10)- 500000)*0.3,0),0)))), IF(AND(B95="2009-2010", $U$22&lt;&gt;"Female"), IF(MROUND(G95,10)&lt;= 160000, 0, IF(AND(MROUND(G95,10)&gt; 160000, MROUND(G95,10)&lt;= 300000),ROUND(ABS(MROUND(G95,10)- 160000)*0.1,0), IF(AND(MROUND(G95,10)&gt; 300000, MROUND(G95,10)&lt;= 500000),ROUND(14000+ ABS(MROUND(G95,10)- 300000)*0.2,0),  IF(MROUND(G95,10)&gt; 500000, ROUND(54000+ABS(MROUND(G95,10)- 500000)*0.3,0),0)))),IF(AND(B95="2009-2010",$U$22="Female"), IF(MROUND(G95,10)&lt;= 190000, 0, IF(AND(MROUND(G95,10)&gt; 190000, MROUND(G95,10)&lt;= 300000),ROUND(ABS(MROUND(G95,10)- 190000)*0.1,0), IF(AND(MROUND(G95,10)&gt; 300000, MROUND(G95,10)&lt;= 500000), ROUND(11000+ ABS(MROUND(G95,10)- 300000)*0.2,0),IF(MROUND(G95,10)&gt; 500000,  ROUND(51000+ABS(MROUND(G95,10)- 500000)*0.3,0),0)))), IF(AND(B95="2010-2011",$U$22&lt;&gt;"Female"), IF(MROUND(G95,10)&lt;= 160000, 0, IF(AND(MROUND(G95,10)&gt; 160000, MROUND(G95,10)&lt;= 500000), ROUND(ABS(MROUND(G95,10)- 160000)*0.1,0), IF(AND(MROUND(G95,10)&gt; 500000, MROUND(G95,10)&lt;= 800000), ROUND(34000+ ABS(MROUND(G95,10)- 500000)*0.2,0),  IF(MROUND(G95,10)&gt; 800000,  ROUND(94000+ABS(MROUND(G95,10)- 800000)*0.3,0),0)))), IF(AND(OR(B95="2010-2011",B95="2011-2012"),$U$22="Female"), IF(MROUND(G95,10)&lt;= 190000, 0, IF(AND(MROUND(G95,10)&gt; 190000, MROUND(G95,10)&lt;= 500000), ROUND(ABS(MROUND(G95,10)- 190000)*0.1,0), IF(AND(MROUND(G95,10)&gt; 500000, MROUND(G95,10)&lt;= 800000),  ROUND(31000+ ABS(MROUND(G95,10)- 500000)*0.2,0),  IF(MROUND(G95,10)&gt; 800000,  ROUND(91000+ABS(MROUND(G95,10)- 800000)*0.3,0),0)))), IF(AND(B95="2011-2012", $U$22&lt;&gt;"Female"), IF(MROUND(G95,10)&lt;= 180000, 0, IF(AND(MROUND(G95,10)&gt; 180000, MROUND(G95,10)&lt;= 500000), ROUND(ABS(MROUND(G95,10)- 180000)*0.1,0), IF(AND(MROUND(G95,10)&gt; 500000, MROUND(G95,10)&lt;= 800000),  ROUND(32000+ ABS(MROUND(G95,10)- 500000)*0.2,0),  IF(MROUND(G95,10)&gt; 800000,  ROUND(92000+ABS(MROUND(G95,10)- 800000)*0.3,0),0)))), IF(OR(B95="2012-2013",B95="2013-2014"), IF(MROUND(G95,10)&lt;= 200000, 0, IF(AND(MROUND(G95,10)&gt; 200000, MROUND(G95,10)&lt;= 500000), ROUND(ABS(MROUND(G95,10)- 200000)*0.1,0), IF(AND(MROUND(G95,10)&gt; 500000, MROUND(G95,10)&lt;= 1000000),  ROUND(30000+ ABS(MROUND(G95,10)- 500000)*0.2,0),  IF(MROUND(G95,10)&gt; 1000000,  ROUND(130000+ABS(MROUND(G95,10)- 1000000)*0.3,0),0)))), IF(OR(B95="2014-2015", B95="2015-2016",B95="2016-2017"), IF(MROUND(G95,10)&lt;= 250000, 0, IF(AND(MROUND(G95,10)&gt; 250000, MROUND(G95,10)&lt;= 500000), ROUND(ABS(MROUND(G95,10)- 250000)*0.1,0), IF(AND(MROUND(G95,10)&gt; 500000, MROUND(G95,10)&lt;= 1000000),  ROUND(25000+ ABS(MROUND(G95,10)- 500000)*0.2,0),  IF(MROUND(G95,10)&gt; 1000000,  ROUND(125000+ABS(MROUND(G95,10)- 1000000)*0.3,0), 0)))), IF(OR(B95="2017-2018",B95="2018-2019",B95="2019-2020",AND(B95="2020-2021",'Basic Information'!$AG$22="No"),AND(B95="2021-2022",'Basic Information'!$AG$25="No"),AND(B95="2022-2023",'Basic Information'!$AG$28="No"),AND(B95="2023-2024",'Basic Information'!$AG$31="Yes")), IF(MROUND(G95,10)&lt;= 250000, 0, IF(AND(MROUND(G95,10)&gt; 250000, MROUND(G95,10)&lt;= 500000), ROUND(ABS(MROUND(G95,10)- 250000)*0.05,0), IF(AND(MROUND(G95,10)&gt; 500000, MROUND(G95,10)&lt;= 1000000),  ROUND(12500+ ABS(MROUND(G95,10)- 500000)*0.2,0),  IF(MROUND(G95,10)&gt; 1000000,  ROUND(112500+ABS(MROUND(G95,10)- 1000000)*0.3,0), 0)))),IF(OR(AND(B95="2020-2021",'Basic Information'!$AG$22="Yes"),AND(B95="2021-2022",'Basic Information'!$AG$25="Yes"),AND(B95="2022-2023",'Basic Information'!$AG$28="Yes")), IF(MROUND(G95,10)&lt;= 250000, 0, IF(AND(MROUND(G95,10)&gt; 250000, MROUND(G95,10)&lt;= 500000), ROUND(ABS(MROUND(G95,10)- 250000)*0.05,0), IF(AND(MROUND(G95,10)&gt; 500000, MROUND(G95,10)&lt;= 750000),  ROUND(12500+ ABS(MROUND(G95,10)- 500000)*0.1,0), IF(AND(MROUND(G95,10)&gt; 750000, MROUND(G95,10)&lt;= 1000000),  ROUND(37500+ ABS(MROUND(G95,10)- 750000)*0.15,0),IF(AND(MROUND(G95,10)&gt; 1000000, MROUND(G95,10)&lt;= 1250000),  ROUND(75000+ ABS(MROUND(G95,10)- 1000000)*0.2,0),IF(AND(MROUND(G95,10)&gt; 1250000, MROUND(G95,10)&lt;= 1500000),  ROUND(125000+ ABS(MROUND(G95,10)- 1250000)*0.25,0), IF(MROUND(G95,10)&gt; 1500000,  ROUND(187500+ABS(MROUND(G95,10)- 1500000)*0.3,0), 0))))))),IF(AND(B95="2023-2024",'Basic Information'!$AG$31="No"), IF(MROUND(G95,10)&lt;= 300000, 0, IF(AND(MROUND(G95,10)&gt; 300000, MROUND(G95,10)&lt;= 600000), ROUND(ABS(MROUND(G95,10)- 300000)*0.05,0), IF(AND(MROUND(G95,10)&gt; 600000, MROUND(G95,10)&lt;= 900000),  ROUND(15000+ ABS(MROUND(G95,10)- 600000)*0.1,0), IF(AND(MROUND(G95,10)&gt; 900000, MROUND(G95,10)&lt;= 1200000),  ROUND(45000+ ABS(MROUND(G95,10)- 900000)*0.15,0),IF(AND(MROUND(G95,10)&gt; 1200000, MROUND(G95,10)&lt;= 1500000),  ROUND(90000+ ABS(MROUND(G95,10)- 1200000)*0.2,0), IF(MROUND(G95,10)&gt; 1500000,  ROUND(150000+ABS(MROUND(G95,10)- 1500000)*0.3,0), 0)))))),0))))))))))))))))</f>
        <v>0</v>
      </c>
      <c r="AU95" s="6">
        <f>IF(OR(B95="2013-2014",B95="2014-2015",B95="2015-2016"),IF(AND(MROUND(G95,10)&lt;=500000,MROUND(G95,10)&lt;&gt;0),IF(AT95&lt;=2000, AT95,2000),0), IF(B95="2016-2017",IF(AND(MROUND(G95,10)&lt;=500000,MROUND(G95,10)&lt;&gt;0),IF(AT95&lt;=5000, AT95,5000),0), IF(OR(B95="2017-2018",B95="2018-2019"),IF(AND(MROUND(G95,10)&lt;=350000,MROUND(G95,10)&lt;&gt;0),IF(AT95&lt;=2500, AT95,2500),0), IF(OR(B95="2019-2020",B95="2020-2021",B95="2021-2022",B95="2022-2023",AND(B95="2023-2024",'Basic Information'!$AG$31="Yes")),IF(AND(MROUND(G95,10)&lt;=500000,MROUND(G95,10)&lt;&gt;0),IF(AT95&lt;=12500, AT95,12500),0), IF(OR(AND(B95="2023-2024",'Basic Information'!$AG$31="No")),IF(AND(MROUND(G95,10)&lt;=700000,MROUND(G95,10)&lt;&gt;0),IF(AT95&lt;=25000, AT95,25000),IF(AND(MROUND(G95,10)&lt;&gt;0,(MROUND(G95,10)-700000)&lt;=AT95),AT95-(MROUND(G95,10)-700000),0)),0)))))</f>
        <v>0</v>
      </c>
      <c r="AV95" s="6">
        <f t="shared" si="5"/>
        <v>0</v>
      </c>
      <c r="AW95" s="6">
        <f t="shared" si="6"/>
        <v>0</v>
      </c>
      <c r="AX95" s="6">
        <f>IF( AND(OR(B95="2005-2006",B95="2006-2007"),$U$22&lt;&gt;"Female"),IF( MROUND(S95,10)&lt;= 100000, 0, IF(AND(MROUND(S95,10)&gt; 100000,MROUND(S95,10)&lt;= 150000),  ROUND(ABS(MROUND(S95,10)- 100000)*0.1,0), IF(AND(MROUND(S95,10)&gt; 150000, MROUND(S95,10)&lt;= 250000), ROUND(5000+ ABS(MROUND(S95,10)- 150000)*0.2,0),IF(MROUND(S95,10)&gt; 250000,  ROUND(25000+ABS(MROUND(S95,10)- 250000)*0.3,0),  0)))),IF(AND(OR(B95="2005-2006",B95="2006-2007"),$U$22="Female"),IF(MROUND(S95,10)&lt;= 135000, 0, IF(AND(MROUND(S95,10)&gt; 135000, MROUND(S95,10)&lt;= 150000), ROUND(ABS(MROUND(S95,10)- 135000)*0.1,0), IF(AND(MROUND(S95,10)&gt; 150000, MROUND(S95,10)&lt;= 250000), ROUND(1500+ ABS(MROUND(S95,10)- 150000)*0.2,0),  IF(MROUND(S95,10)&gt; 250000, ROUND(21500+ABS(MROUND(S95,10)- 250000)*0.3,0),0)))),IF(AND(B95="2007-2008",$U$22&lt;&gt;"Female"), IF(MROUND(S95,10)&lt;= 110000,  0,  IF(AND(MROUND(S95,10)&gt; 110000, MROUND(S95,10)&lt;= 150000),     ROUND(ABS(MROUND(S95,10)- 110000)*0.1,0),  IF(AND(MROUND(S95,10)&gt; 150000, MROUND(S95,10)&lt;= 250000),  ROUND(4000+ ABS(MROUND(S95,10)- 150000)*0.2,0),   IF(MROUND(S95,10)&gt; 250000,   ROUND(24000+ABS(MROUND(S95,10)- 250000)*0.3,0),0)))),IF(AND(B95="2007-2008",$U$22="Female"), IF(MROUND(S95,10)&lt;= 145000, 0, IF(AND(MROUND(S95,10)&gt; 145000, MROUND(S95,10)&lt;= 150000),     ROUND(ABS(MROUND(S95,10)- 145000)*0.1,0),  IF(AND(MROUND(S95,10)&gt; 150000, MROUND(S95,10)&lt;= 250000),  ROUND(500+ ABS(MROUND(S95,10)- 150000)*0.2,0),  IF(MROUND(S95,10)&gt; 250000, ROUND(20500+ABS(MROUND(S95,10)- 250000)*0.3,0),0)))), IF(AND(B95="2008-2009",$U$22&lt;&gt;"Female"), IF(MROUND(S95,10)&lt;= 150000, 0, IF(AND(MROUND(S95,10)&gt; 150000, MROUND(S95,10)&lt;= 300000), ROUND(ABS(MROUND(S95,10)- 150000)*0.1,0), IF(AND(MROUND(S95,10)&gt; 300000, MROUND(S95,10)&lt;= 500000),  ROUND(15000+ ABS(MROUND(S95,10)- 300000)*0.2,0),  IF(MROUND(S95,10)&gt; 500000,  ROUND(55000+ABS(MROUND(S95,10)- 500000)*0.3,0),0)))), IF(AND(B95="2008-2009",$U$22="Female"), IF(MROUND(S95,10)&lt;= 180000, 0, IF(AND(MROUND(S95,10)&gt; 180000, MROUND(S95,10)&lt;= 300000), ROUND(ABS(MROUND(S95,10)- 180000)*0.1,0), IF(AND(MROUND(S95,10)&gt; 300000, MROUND(S95,10)&lt;= 500000), ROUND(12000+ ABS(MROUND(S95,10)- 300000)*0.2,0),  IF(MROUND(S95,10)&gt; 500000,  ROUND(52000+ABS(MROUND(S95,10)- 500000)*0.3,0),0)))), IF(AND(B95="2009-2010", $U$22&lt;&gt;"Female"), IF(MROUND(S95,10)&lt;= 160000, 0, IF(AND(MROUND(S95,10)&gt; 160000, MROUND(S95,10)&lt;= 300000),ROUND(ABS(MROUND(S95,10)- 160000)*0.1,0), IF(AND(MROUND(S95,10)&gt; 300000, MROUND(S95,10)&lt;= 500000),ROUND(14000+ ABS(MROUND(S95,10)- 300000)*0.2,0),  IF(MROUND(S95,10)&gt; 500000, ROUND(54000+ABS(MROUND(S95,10)- 500000)*0.3,0),0)))),IF(AND(B95="2009-2010",$U$22="Female"), IF(MROUND(S95,10)&lt;= 190000, 0, IF(AND(MROUND(S95,10)&gt; 190000, MROUND(S95,10)&lt;= 300000),ROUND(ABS(MROUND(S95,10)- 190000)*0.1,0), IF(AND(MROUND(S95,10)&gt; 300000, MROUND(S95,10)&lt;= 500000), ROUND(11000+ ABS(MROUND(S95,10)- 300000)*0.2,0),IF(MROUND(S95,10)&gt; 500000,  ROUND(51000+ABS(MROUND(S95,10)- 500000)*0.3,0),0)))), IF(AND(B95="2010-2011",$U$22&lt;&gt;"Female"), IF(MROUND(S95,10)&lt;= 160000, 0, IF(AND(MROUND(S95,10)&gt; 160000, MROUND(S95,10)&lt;= 500000), ROUND(ABS(MROUND(S95,10)- 160000)*0.1,0), IF(AND(MROUND(S95,10)&gt; 500000, MROUND(S95,10)&lt;= 800000), ROUND(34000+ ABS(MROUND(S95,10)- 500000)*0.2,0),  IF(MROUND(S95,10)&gt; 800000,  ROUND(94000+ABS(MROUND(S95,10)- 800000)*0.3,0),0)))), IF(AND(OR(B95="2010-2011",B95="2011-2012"),$U$22="Female"), IF(MROUND(S95,10)&lt;= 190000, 0, IF(AND(MROUND(S95,10)&gt; 190000, MROUND(S95,10)&lt;= 500000), ROUND(ABS(MROUND(S95,10)- 190000)*0.1,0), IF(AND(MROUND(S95,10)&gt; 500000, MROUND(S95,10)&lt;= 800000),  ROUND(31000+ ABS(MROUND(S95,10)- 500000)*0.2,0),  IF(MROUND(S95,10)&gt; 800000,  ROUND(91000+ABS(MROUND(S95,10)- 800000)*0.3,0),0)))), IF(AND(B95="2011-2012", $U$22&lt;&gt;"Female"), IF(MROUND(S95,10)&lt;= 180000, 0, IF(AND(MROUND(S95,10)&gt; 180000, MROUND(S95,10)&lt;= 500000), ROUND(ABS(MROUND(S95,10)- 180000)*0.1,0), IF(AND(MROUND(S95,10)&gt; 500000, MROUND(S95,10)&lt;= 800000),  ROUND(32000+ ABS(MROUND(S95,10)- 500000)*0.2,0),  IF(MROUND(S95,10)&gt; 800000,  ROUND(92000+ABS(MROUND(S95,10)- 800000)*0.3,0),0)))), IF(OR(B95="2012-2013",B95="2013-2014"), IF(MROUND(S95,10)&lt;= 200000, 0, IF(AND(MROUND(S95,10)&gt; 200000, MROUND(S95,10)&lt;= 500000), ROUND(ABS(MROUND(S95,10)- 200000)*0.1,0), IF(AND(MROUND(S95,10)&gt; 500000, MROUND(S95,10)&lt;= 1000000),  ROUND(30000+ ABS(MROUND(S95,10)- 500000)*0.2,0),  IF(MROUND(S95,10)&gt; 1000000,  ROUND(130000+ABS(MROUND(S95,10)- 1000000)*0.3,0),0)))), IF(OR(B95="2014-2015", B95="2015-2016",B95="2016-2017"), IF(MROUND(S95,10)&lt;= 250000, 0, IF(AND(MROUND(S95,10)&gt; 250000, MROUND(S95,10)&lt;= 500000), ROUND(ABS(MROUND(S95,10)- 250000)*0.1,0), IF(AND(MROUND(S95,10)&gt; 500000, MROUND(S95,10)&lt;= 1000000),  ROUND(25000+ ABS(MROUND(S95,10)- 500000)*0.2,0),  IF(MROUND(S95,10)&gt; 1000000,  ROUND(125000+ABS(MROUND(S95,10)- 1000000)*0.3,0), 0)))),IF(OR(B95="2017-2018",B95="2018-2019",B95="2019-2020",AND(B95="2020-2021",'Basic Information'!$AG$22="No"),AND(B95="2021-2022",'Basic Information'!$AG$25="No"),AND(B95="2022-2023",'Basic Information'!$AG$28="No"),AND(B95="2023-2024",'Basic Information'!$AG$31="Yes")), IF(MROUND(S95,10)&lt;= 250000, 0, IF(AND(MROUND(S95,10)&gt; 250000, MROUND(S95,10)&lt;= 500000), ROUND(ABS(MROUND(S95,10)- 250000)*0.05,0), IF(AND(MROUND(S95,10)&gt; 500000, MROUND(S95,10)&lt;= 1000000),  ROUND(12500+ ABS(MROUND(S95,10)- 500000)*0.2,0),  IF(MROUND(S95,10)&gt; 1000000,  ROUND(112500+ABS(MROUND(S95,10)- 1000000)*0.3,0), 0)))),IF(OR(AND(B95="2020-2021",'Basic Information'!$AG$22="Yes"),AND(B95="2021-2022",'Basic Information'!$AG$25="Yes"),AND(B95="2022-2023",'Basic Information'!$AG$28="Yes")), IF(MROUND(S95,10)&lt;= 250000, 0, IF(AND(MROUND(S95,10)&gt; 250000, MROUND(S95,10)&lt;= 500000), ROUND(ABS(MROUND(S95,10)- 250000)*0.05,0), IF(AND(MROUND(S95,10)&gt; 500000, MROUND(S95,10)&lt;= 750000),  ROUND(12500+ ABS(MROUND(S95,10)- 500000)*0.1,0), IF(AND(MROUND(S95,10)&gt; 750000, MROUND(S95,10)&lt;= 1000000),  ROUND(37500+ ABS(MROUND(S95,10)- 750000)*0.15,0),IF(AND(MROUND(S95,10)&gt; 1000000, MROUND(S95,10)&lt;= 1250000),  ROUND(75000+ ABS(MROUND(S95,10)- 1000000)*0.2,0),IF(AND(MROUND(S95,10)&gt; 1250000, MROUND(S95,10)&lt;= 1500000),  ROUND(125000+ ABS(MROUND(S95,10)- 1250000)*0.25,0), IF(MROUND(S95,10)&gt; 1500000,  ROUND(187500+ABS(MROUND(S95,10)- 1500000)*0.3,0), 0))))))),IF(AND(B95="2023-2024",'Basic Information'!$AG$31="No"), IF(MROUND(S95,10)&lt;= 300000, 0, IF(AND(MROUND(S95,10)&gt; 300000, MROUND(S95,10)&lt;= 600000), ROUND(ABS(MROUND(S95,10)- 300000)*0.05,0), IF(AND(MROUND(S95,10)&gt; 600000, MROUND(S95,10)&lt;= 900000),  ROUND(15000+ ABS(MROUND(S95,10)- 600000)*0.1,0), IF(AND(MROUND(S95,10)&gt; 900000, MROUND(S95,10)&lt;= 1200000),  ROUND(45000+ ABS(MROUND(S95,10)- 900000)*0.15,0),IF(AND(MROUND(S95,10)&gt; 1200000, MROUND(S95,10)&lt;= 1500000),  ROUND(90000+ ABS(MROUND(S95,10)- 1200000)*0.2,0), IF(MROUND(S95,10)&gt; 1500000,  ROUND(150000+ABS(MROUND(S95,10)- 1500000)*0.3,0), 0)))))),0))))))))))))))))</f>
        <v>0</v>
      </c>
      <c r="AY95" s="6">
        <f>IF(OR(B95="2013-2014",B95="2014-2015",B95="2015-2016"),IF(AND(MROUND(S95,10)&lt;=500000,MROUND(S95,10)&lt;&gt;0),IF(AX95&lt;=2000, AX95,2000),0), IF(B95="2016-2017",IF(AND(MROUND(S95,10)&lt;=500000,MROUND(S95,10)&lt;&gt;0),IF(AX95&lt;=5000, AX95,5000),0), IF(OR(B95="2017-2018",B95="2018-2019"),IF(AND(MROUND(S95,10)&lt;=350000,MROUND(S95,10)&lt;&gt;0),IF(AX95&lt;=2500, AX95,2500),0), IF(OR(B95="2019-2020",B95="2020-2021",B95="2021-2022",B95="2022-2023",AND(B95="2023-2024",'Basic Information'!$AG$31="Yes")),IF(AND(MROUND(S95,10)&lt;=500000,MROUND(S95,10)&lt;&gt;0),IF(AX95&lt;=12500, AX95,12500),0), IF(OR(AND(B95="2023-2024",'Basic Information'!$AG$31="No")),IF(AND(MROUND(S95,10)&lt;=700000,MROUND(S95,10)&lt;&gt;0),IF(AX95&lt;=25000, AX95,25000),IF(AND(MROUND(S95,10)&lt;&gt;0,(MROUND(S95,10)-700000)&lt;= AX95), AX95-(MROUND(S95,10)-700000),0)),0)))))</f>
        <v>0</v>
      </c>
      <c r="AZ95" s="6">
        <f t="shared" si="7"/>
        <v>0</v>
      </c>
      <c r="BA95" s="6">
        <f t="shared" si="8"/>
        <v>0</v>
      </c>
    </row>
    <row r="96" spans="2:53" x14ac:dyDescent="0.3">
      <c r="B96" s="342"/>
      <c r="C96" s="343"/>
      <c r="D96" s="343"/>
      <c r="E96" s="343"/>
      <c r="F96" s="344"/>
      <c r="G96" s="345"/>
      <c r="H96" s="346"/>
      <c r="I96" s="346"/>
      <c r="J96" s="346"/>
      <c r="K96" s="346"/>
      <c r="L96" s="347"/>
      <c r="M96" s="345"/>
      <c r="N96" s="346"/>
      <c r="O96" s="346"/>
      <c r="P96" s="346"/>
      <c r="Q96" s="346"/>
      <c r="R96" s="347"/>
      <c r="S96" s="335">
        <f t="shared" si="1"/>
        <v>0</v>
      </c>
      <c r="T96" s="336"/>
      <c r="U96" s="336"/>
      <c r="V96" s="336"/>
      <c r="W96" s="336"/>
      <c r="X96" s="337"/>
      <c r="Y96" s="335">
        <f t="shared" si="2"/>
        <v>0</v>
      </c>
      <c r="Z96" s="336"/>
      <c r="AA96" s="336"/>
      <c r="AB96" s="336"/>
      <c r="AC96" s="336"/>
      <c r="AD96" s="337"/>
      <c r="AE96" s="335">
        <f t="shared" si="3"/>
        <v>0</v>
      </c>
      <c r="AF96" s="336"/>
      <c r="AG96" s="336"/>
      <c r="AH96" s="336"/>
      <c r="AI96" s="336"/>
      <c r="AJ96" s="338"/>
      <c r="AK96" s="339">
        <f t="shared" si="4"/>
        <v>0</v>
      </c>
      <c r="AL96" s="340"/>
      <c r="AM96" s="340"/>
      <c r="AN96" s="340"/>
      <c r="AO96" s="340"/>
      <c r="AP96" s="341"/>
      <c r="AQ96" s="38" t="str">
        <f t="shared" si="9"/>
        <v/>
      </c>
      <c r="AT96" s="6">
        <f>IF( AND(OR(B96="2005-2006",B96="2006-2007"),$U$22&lt;&gt;"Female"),IF( MROUND(G96,10)&lt;= 100000, 0, IF(AND(MROUND(G96,10)&gt; 100000,MROUND(G96,10)&lt;= 150000),  ROUND(ABS(MROUND(G96,10)- 100000)*0.1,0), IF(AND(MROUND(G96,10)&gt; 150000, MROUND(G96,10)&lt;= 250000), ROUND(5000+ ABS(MROUND(G96,10)- 150000)*0.2,0),IF(MROUND(G96,10)&gt; 250000,  ROUND(25000+ABS(MROUND(G96,10)- 250000)*0.3,0),  0)))),IF(AND(OR(B96="2005-2006",B96="2006-2007"),$U$22="Female"),IF(MROUND(G96,10)&lt;= 135000, 0, IF(AND(MROUND(G96,10)&gt; 135000, MROUND(G96,10)&lt;= 150000), ROUND(ABS(MROUND(G96,10)- 135000)*0.1,0), IF(AND(MROUND(G96,10)&gt; 150000, MROUND(G96,10)&lt;= 250000), ROUND(1500+ ABS(MROUND(G96,10)- 150000)*0.2,0),  IF(MROUND(G96,10)&gt; 250000, ROUND(21500+ABS(MROUND(G96,10)- 250000)*0.3,0),0)))),IF(AND(B96="2007-2008",$U$22&lt;&gt;"Female"), IF(MROUND(G96,10)&lt;= 110000,  0,  IF(AND(MROUND(G96,10)&gt; 110000, MROUND(G96,10)&lt;= 150000), ROUND(ABS(MROUND(G96,10)- 110000)*0.1,0),  IF(AND(MROUND(G96,10)&gt; 150000, MROUND(G96,10)&lt;= 250000),  ROUND(4000+ ABS(MROUND(G96,10)- 150000)*0.2,0),   IF(MROUND(G96,10)&gt; 250000,   ROUND(24000+ABS(MROUND(G96,10)- 250000)*0.3,0),0)))),IF(AND(B96="2007-2008",$U$22="Female"), IF(MROUND(G96,10)&lt;= 145000, 0, IF(AND(MROUND(G96,10)&gt; 145000, MROUND(G96,10)&lt;= 150000),     ROUND(ABS(MROUND(G96,10)- 145000)*0.1,0),  IF(AND(MROUND(G96,10)&gt; 150000, MROUND(G96,10)&lt;= 250000),  ROUND(500+ ABS(MROUND(G96,10)- 150000)*0.2,0),  IF(MROUND(G96,10)&gt; 250000, ROUND(20500+ABS(MROUND(G96,10)- 250000)*0.3,0),0)))), IF(AND(B96="2008-2009",$U$22&lt;&gt;"Female"), IF(MROUND(G96,10)&lt;= 150000, 0, IF(AND(MROUND(G96,10)&gt; 150000, MROUND(G96,10)&lt;= 300000), ROUND(ABS(MROUND(G96,10)- 150000)*0.1,0), IF(AND(MROUND(G96,10)&gt; 300000, MROUND(G96,10)&lt;= 500000),  ROUND(15000+ ABS(MROUND(G96,10)- 300000)*0.2,0),  IF(MROUND(G96,10)&gt; 500000,  ROUND(55000+ABS(MROUND(G96,10)- 500000)*0.3,0),0)))), IF(AND(B96="2008-2009",$U$22="Female"), IF(MROUND(G96,10)&lt;= 180000, 0, IF(AND(MROUND(G96,10)&gt; 180000, MROUND(G96,10)&lt;= 300000), ROUND(ABS(MROUND(G96,10)- 180000)*0.1,0), IF(AND(MROUND(G96,10)&gt; 300000, MROUND(G96,10)&lt;= 500000), ROUND(12000+ ABS(MROUND(G96,10)- 300000)*0.2,0),  IF(MROUND(G96,10)&gt; 500000,  ROUND(52000+ABS(MROUND(G96,10)- 500000)*0.3,0),0)))), IF(AND(B96="2009-2010", $U$22&lt;&gt;"Female"), IF(MROUND(G96,10)&lt;= 160000, 0, IF(AND(MROUND(G96,10)&gt; 160000, MROUND(G96,10)&lt;= 300000),ROUND(ABS(MROUND(G96,10)- 160000)*0.1,0), IF(AND(MROUND(G96,10)&gt; 300000, MROUND(G96,10)&lt;= 500000),ROUND(14000+ ABS(MROUND(G96,10)- 300000)*0.2,0),  IF(MROUND(G96,10)&gt; 500000, ROUND(54000+ABS(MROUND(G96,10)- 500000)*0.3,0),0)))),IF(AND(B96="2009-2010",$U$22="Female"), IF(MROUND(G96,10)&lt;= 190000, 0, IF(AND(MROUND(G96,10)&gt; 190000, MROUND(G96,10)&lt;= 300000),ROUND(ABS(MROUND(G96,10)- 190000)*0.1,0), IF(AND(MROUND(G96,10)&gt; 300000, MROUND(G96,10)&lt;= 500000), ROUND(11000+ ABS(MROUND(G96,10)- 300000)*0.2,0),IF(MROUND(G96,10)&gt; 500000,  ROUND(51000+ABS(MROUND(G96,10)- 500000)*0.3,0),0)))), IF(AND(B96="2010-2011",$U$22&lt;&gt;"Female"), IF(MROUND(G96,10)&lt;= 160000, 0, IF(AND(MROUND(G96,10)&gt; 160000, MROUND(G96,10)&lt;= 500000), ROUND(ABS(MROUND(G96,10)- 160000)*0.1,0), IF(AND(MROUND(G96,10)&gt; 500000, MROUND(G96,10)&lt;= 800000), ROUND(34000+ ABS(MROUND(G96,10)- 500000)*0.2,0),  IF(MROUND(G96,10)&gt; 800000,  ROUND(94000+ABS(MROUND(G96,10)- 800000)*0.3,0),0)))), IF(AND(OR(B96="2010-2011",B96="2011-2012"),$U$22="Female"), IF(MROUND(G96,10)&lt;= 190000, 0, IF(AND(MROUND(G96,10)&gt; 190000, MROUND(G96,10)&lt;= 500000), ROUND(ABS(MROUND(G96,10)- 190000)*0.1,0), IF(AND(MROUND(G96,10)&gt; 500000, MROUND(G96,10)&lt;= 800000),  ROUND(31000+ ABS(MROUND(G96,10)- 500000)*0.2,0),  IF(MROUND(G96,10)&gt; 800000,  ROUND(91000+ABS(MROUND(G96,10)- 800000)*0.3,0),0)))), IF(AND(B96="2011-2012", $U$22&lt;&gt;"Female"), IF(MROUND(G96,10)&lt;= 180000, 0, IF(AND(MROUND(G96,10)&gt; 180000, MROUND(G96,10)&lt;= 500000), ROUND(ABS(MROUND(G96,10)- 180000)*0.1,0), IF(AND(MROUND(G96,10)&gt; 500000, MROUND(G96,10)&lt;= 800000),  ROUND(32000+ ABS(MROUND(G96,10)- 500000)*0.2,0),  IF(MROUND(G96,10)&gt; 800000,  ROUND(92000+ABS(MROUND(G96,10)- 800000)*0.3,0),0)))), IF(OR(B96="2012-2013",B96="2013-2014"), IF(MROUND(G96,10)&lt;= 200000, 0, IF(AND(MROUND(G96,10)&gt; 200000, MROUND(G96,10)&lt;= 500000), ROUND(ABS(MROUND(G96,10)- 200000)*0.1,0), IF(AND(MROUND(G96,10)&gt; 500000, MROUND(G96,10)&lt;= 1000000),  ROUND(30000+ ABS(MROUND(G96,10)- 500000)*0.2,0),  IF(MROUND(G96,10)&gt; 1000000,  ROUND(130000+ABS(MROUND(G96,10)- 1000000)*0.3,0),0)))), IF(OR(B96="2014-2015", B96="2015-2016",B96="2016-2017"), IF(MROUND(G96,10)&lt;= 250000, 0, IF(AND(MROUND(G96,10)&gt; 250000, MROUND(G96,10)&lt;= 500000), ROUND(ABS(MROUND(G96,10)- 250000)*0.1,0), IF(AND(MROUND(G96,10)&gt; 500000, MROUND(G96,10)&lt;= 1000000),  ROUND(25000+ ABS(MROUND(G96,10)- 500000)*0.2,0),  IF(MROUND(G96,10)&gt; 1000000,  ROUND(125000+ABS(MROUND(G96,10)- 1000000)*0.3,0), 0)))), IF(OR(B96="2017-2018",B96="2018-2019",B96="2019-2020",AND(B96="2020-2021",'Basic Information'!$AG$22="No"),AND(B96="2021-2022",'Basic Information'!$AG$25="No"),AND(B96="2022-2023",'Basic Information'!$AG$28="No"),AND(B96="2023-2024",'Basic Information'!$AG$31="Yes")), IF(MROUND(G96,10)&lt;= 250000, 0, IF(AND(MROUND(G96,10)&gt; 250000, MROUND(G96,10)&lt;= 500000), ROUND(ABS(MROUND(G96,10)- 250000)*0.05,0), IF(AND(MROUND(G96,10)&gt; 500000, MROUND(G96,10)&lt;= 1000000),  ROUND(12500+ ABS(MROUND(G96,10)- 500000)*0.2,0),  IF(MROUND(G96,10)&gt; 1000000,  ROUND(112500+ABS(MROUND(G96,10)- 1000000)*0.3,0), 0)))),IF(OR(AND(B96="2020-2021",'Basic Information'!$AG$22="Yes"),AND(B96="2021-2022",'Basic Information'!$AG$25="Yes"),AND(B96="2022-2023",'Basic Information'!$AG$28="Yes")), IF(MROUND(G96,10)&lt;= 250000, 0, IF(AND(MROUND(G96,10)&gt; 250000, MROUND(G96,10)&lt;= 500000), ROUND(ABS(MROUND(G96,10)- 250000)*0.05,0), IF(AND(MROUND(G96,10)&gt; 500000, MROUND(G96,10)&lt;= 750000),  ROUND(12500+ ABS(MROUND(G96,10)- 500000)*0.1,0), IF(AND(MROUND(G96,10)&gt; 750000, MROUND(G96,10)&lt;= 1000000),  ROUND(37500+ ABS(MROUND(G96,10)- 750000)*0.15,0),IF(AND(MROUND(G96,10)&gt; 1000000, MROUND(G96,10)&lt;= 1250000),  ROUND(75000+ ABS(MROUND(G96,10)- 1000000)*0.2,0),IF(AND(MROUND(G96,10)&gt; 1250000, MROUND(G96,10)&lt;= 1500000),  ROUND(125000+ ABS(MROUND(G96,10)- 1250000)*0.25,0), IF(MROUND(G96,10)&gt; 1500000,  ROUND(187500+ABS(MROUND(G96,10)- 1500000)*0.3,0), 0))))))),IF(AND(B96="2023-2024",'Basic Information'!$AG$31="No"), IF(MROUND(G96,10)&lt;= 300000, 0, IF(AND(MROUND(G96,10)&gt; 300000, MROUND(G96,10)&lt;= 600000), ROUND(ABS(MROUND(G96,10)- 300000)*0.05,0), IF(AND(MROUND(G96,10)&gt; 600000, MROUND(G96,10)&lt;= 900000),  ROUND(15000+ ABS(MROUND(G96,10)- 600000)*0.1,0), IF(AND(MROUND(G96,10)&gt; 900000, MROUND(G96,10)&lt;= 1200000),  ROUND(45000+ ABS(MROUND(G96,10)- 900000)*0.15,0),IF(AND(MROUND(G96,10)&gt; 1200000, MROUND(G96,10)&lt;= 1500000),  ROUND(90000+ ABS(MROUND(G96,10)- 1200000)*0.2,0), IF(MROUND(G96,10)&gt; 1500000,  ROUND(150000+ABS(MROUND(G96,10)- 1500000)*0.3,0), 0)))))),0))))))))))))))))</f>
        <v>0</v>
      </c>
      <c r="AU96" s="6">
        <f>IF(OR(B96="2013-2014",B96="2014-2015",B96="2015-2016"),IF(AND(MROUND(G96,10)&lt;=500000,MROUND(G96,10)&lt;&gt;0),IF(AT96&lt;=2000, AT96,2000),0), IF(B96="2016-2017",IF(AND(MROUND(G96,10)&lt;=500000,MROUND(G96,10)&lt;&gt;0),IF(AT96&lt;=5000, AT96,5000),0), IF(OR(B96="2017-2018",B96="2018-2019"),IF(AND(MROUND(G96,10)&lt;=350000,MROUND(G96,10)&lt;&gt;0),IF(AT96&lt;=2500, AT96,2500),0), IF(OR(B96="2019-2020",B96="2020-2021",B96="2021-2022",B96="2022-2023",AND(B96="2023-2024",'Basic Information'!$AG$31="Yes")),IF(AND(MROUND(G96,10)&lt;=500000,MROUND(G96,10)&lt;&gt;0),IF(AT96&lt;=12500, AT96,12500),0), IF(OR(AND(B96="2023-2024",'Basic Information'!$AG$31="No")),IF(AND(MROUND(G96,10)&lt;=700000,MROUND(G96,10)&lt;&gt;0),IF(AT96&lt;=25000, AT96,25000),IF(AND(MROUND(G96,10)&lt;&gt;0,(MROUND(G96,10)-700000)&lt;=AT96),AT96-(MROUND(G96,10)-700000),0)),0)))))</f>
        <v>0</v>
      </c>
      <c r="AV96" s="6">
        <f t="shared" si="5"/>
        <v>0</v>
      </c>
      <c r="AW96" s="6">
        <f t="shared" si="6"/>
        <v>0</v>
      </c>
      <c r="AX96" s="6">
        <f>IF( AND(OR(B96="2005-2006",B96="2006-2007"),$U$22&lt;&gt;"Female"),IF( MROUND(S96,10)&lt;= 100000, 0, IF(AND(MROUND(S96,10)&gt; 100000,MROUND(S96,10)&lt;= 150000),  ROUND(ABS(MROUND(S96,10)- 100000)*0.1,0), IF(AND(MROUND(S96,10)&gt; 150000, MROUND(S96,10)&lt;= 250000), ROUND(5000+ ABS(MROUND(S96,10)- 150000)*0.2,0),IF(MROUND(S96,10)&gt; 250000,  ROUND(25000+ABS(MROUND(S96,10)- 250000)*0.3,0),  0)))),IF(AND(OR(B96="2005-2006",B96="2006-2007"),$U$22="Female"),IF(MROUND(S96,10)&lt;= 135000, 0, IF(AND(MROUND(S96,10)&gt; 135000, MROUND(S96,10)&lt;= 150000), ROUND(ABS(MROUND(S96,10)- 135000)*0.1,0), IF(AND(MROUND(S96,10)&gt; 150000, MROUND(S96,10)&lt;= 250000), ROUND(1500+ ABS(MROUND(S96,10)- 150000)*0.2,0),  IF(MROUND(S96,10)&gt; 250000, ROUND(21500+ABS(MROUND(S96,10)- 250000)*0.3,0),0)))),IF(AND(B96="2007-2008",$U$22&lt;&gt;"Female"), IF(MROUND(S96,10)&lt;= 110000,  0,  IF(AND(MROUND(S96,10)&gt; 110000, MROUND(S96,10)&lt;= 150000),     ROUND(ABS(MROUND(S96,10)- 110000)*0.1,0),  IF(AND(MROUND(S96,10)&gt; 150000, MROUND(S96,10)&lt;= 250000),  ROUND(4000+ ABS(MROUND(S96,10)- 150000)*0.2,0),   IF(MROUND(S96,10)&gt; 250000,   ROUND(24000+ABS(MROUND(S96,10)- 250000)*0.3,0),0)))),IF(AND(B96="2007-2008",$U$22="Female"), IF(MROUND(S96,10)&lt;= 145000, 0, IF(AND(MROUND(S96,10)&gt; 145000, MROUND(S96,10)&lt;= 150000),     ROUND(ABS(MROUND(S96,10)- 145000)*0.1,0),  IF(AND(MROUND(S96,10)&gt; 150000, MROUND(S96,10)&lt;= 250000),  ROUND(500+ ABS(MROUND(S96,10)- 150000)*0.2,0),  IF(MROUND(S96,10)&gt; 250000, ROUND(20500+ABS(MROUND(S96,10)- 250000)*0.3,0),0)))), IF(AND(B96="2008-2009",$U$22&lt;&gt;"Female"), IF(MROUND(S96,10)&lt;= 150000, 0, IF(AND(MROUND(S96,10)&gt; 150000, MROUND(S96,10)&lt;= 300000), ROUND(ABS(MROUND(S96,10)- 150000)*0.1,0), IF(AND(MROUND(S96,10)&gt; 300000, MROUND(S96,10)&lt;= 500000),  ROUND(15000+ ABS(MROUND(S96,10)- 300000)*0.2,0),  IF(MROUND(S96,10)&gt; 500000,  ROUND(55000+ABS(MROUND(S96,10)- 500000)*0.3,0),0)))), IF(AND(B96="2008-2009",$U$22="Female"), IF(MROUND(S96,10)&lt;= 180000, 0, IF(AND(MROUND(S96,10)&gt; 180000, MROUND(S96,10)&lt;= 300000), ROUND(ABS(MROUND(S96,10)- 180000)*0.1,0), IF(AND(MROUND(S96,10)&gt; 300000, MROUND(S96,10)&lt;= 500000), ROUND(12000+ ABS(MROUND(S96,10)- 300000)*0.2,0),  IF(MROUND(S96,10)&gt; 500000,  ROUND(52000+ABS(MROUND(S96,10)- 500000)*0.3,0),0)))), IF(AND(B96="2009-2010", $U$22&lt;&gt;"Female"), IF(MROUND(S96,10)&lt;= 160000, 0, IF(AND(MROUND(S96,10)&gt; 160000, MROUND(S96,10)&lt;= 300000),ROUND(ABS(MROUND(S96,10)- 160000)*0.1,0), IF(AND(MROUND(S96,10)&gt; 300000, MROUND(S96,10)&lt;= 500000),ROUND(14000+ ABS(MROUND(S96,10)- 300000)*0.2,0),  IF(MROUND(S96,10)&gt; 500000, ROUND(54000+ABS(MROUND(S96,10)- 500000)*0.3,0),0)))),IF(AND(B96="2009-2010",$U$22="Female"), IF(MROUND(S96,10)&lt;= 190000, 0, IF(AND(MROUND(S96,10)&gt; 190000, MROUND(S96,10)&lt;= 300000),ROUND(ABS(MROUND(S96,10)- 190000)*0.1,0), IF(AND(MROUND(S96,10)&gt; 300000, MROUND(S96,10)&lt;= 500000), ROUND(11000+ ABS(MROUND(S96,10)- 300000)*0.2,0),IF(MROUND(S96,10)&gt; 500000,  ROUND(51000+ABS(MROUND(S96,10)- 500000)*0.3,0),0)))), IF(AND(B96="2010-2011",$U$22&lt;&gt;"Female"), IF(MROUND(S96,10)&lt;= 160000, 0, IF(AND(MROUND(S96,10)&gt; 160000, MROUND(S96,10)&lt;= 500000), ROUND(ABS(MROUND(S96,10)- 160000)*0.1,0), IF(AND(MROUND(S96,10)&gt; 500000, MROUND(S96,10)&lt;= 800000), ROUND(34000+ ABS(MROUND(S96,10)- 500000)*0.2,0),  IF(MROUND(S96,10)&gt; 800000,  ROUND(94000+ABS(MROUND(S96,10)- 800000)*0.3,0),0)))), IF(AND(OR(B96="2010-2011",B96="2011-2012"),$U$22="Female"), IF(MROUND(S96,10)&lt;= 190000, 0, IF(AND(MROUND(S96,10)&gt; 190000, MROUND(S96,10)&lt;= 500000), ROUND(ABS(MROUND(S96,10)- 190000)*0.1,0), IF(AND(MROUND(S96,10)&gt; 500000, MROUND(S96,10)&lt;= 800000),  ROUND(31000+ ABS(MROUND(S96,10)- 500000)*0.2,0),  IF(MROUND(S96,10)&gt; 800000,  ROUND(91000+ABS(MROUND(S96,10)- 800000)*0.3,0),0)))), IF(AND(B96="2011-2012", $U$22&lt;&gt;"Female"), IF(MROUND(S96,10)&lt;= 180000, 0, IF(AND(MROUND(S96,10)&gt; 180000, MROUND(S96,10)&lt;= 500000), ROUND(ABS(MROUND(S96,10)- 180000)*0.1,0), IF(AND(MROUND(S96,10)&gt; 500000, MROUND(S96,10)&lt;= 800000),  ROUND(32000+ ABS(MROUND(S96,10)- 500000)*0.2,0),  IF(MROUND(S96,10)&gt; 800000,  ROUND(92000+ABS(MROUND(S96,10)- 800000)*0.3,0),0)))), IF(OR(B96="2012-2013",B96="2013-2014"), IF(MROUND(S96,10)&lt;= 200000, 0, IF(AND(MROUND(S96,10)&gt; 200000, MROUND(S96,10)&lt;= 500000), ROUND(ABS(MROUND(S96,10)- 200000)*0.1,0), IF(AND(MROUND(S96,10)&gt; 500000, MROUND(S96,10)&lt;= 1000000),  ROUND(30000+ ABS(MROUND(S96,10)- 500000)*0.2,0),  IF(MROUND(S96,10)&gt; 1000000,  ROUND(130000+ABS(MROUND(S96,10)- 1000000)*0.3,0),0)))), IF(OR(B96="2014-2015", B96="2015-2016",B96="2016-2017"), IF(MROUND(S96,10)&lt;= 250000, 0, IF(AND(MROUND(S96,10)&gt; 250000, MROUND(S96,10)&lt;= 500000), ROUND(ABS(MROUND(S96,10)- 250000)*0.1,0), IF(AND(MROUND(S96,10)&gt; 500000, MROUND(S96,10)&lt;= 1000000),  ROUND(25000+ ABS(MROUND(S96,10)- 500000)*0.2,0),  IF(MROUND(S96,10)&gt; 1000000,  ROUND(125000+ABS(MROUND(S96,10)- 1000000)*0.3,0), 0)))),IF(OR(B96="2017-2018",B96="2018-2019",B96="2019-2020",AND(B96="2020-2021",'Basic Information'!$AG$22="No"),AND(B96="2021-2022",'Basic Information'!$AG$25="No"),AND(B96="2022-2023",'Basic Information'!$AG$28="No"),AND(B96="2023-2024",'Basic Information'!$AG$31="Yes")), IF(MROUND(S96,10)&lt;= 250000, 0, IF(AND(MROUND(S96,10)&gt; 250000, MROUND(S96,10)&lt;= 500000), ROUND(ABS(MROUND(S96,10)- 250000)*0.05,0), IF(AND(MROUND(S96,10)&gt; 500000, MROUND(S96,10)&lt;= 1000000),  ROUND(12500+ ABS(MROUND(S96,10)- 500000)*0.2,0),  IF(MROUND(S96,10)&gt; 1000000,  ROUND(112500+ABS(MROUND(S96,10)- 1000000)*0.3,0), 0)))),IF(OR(AND(B96="2020-2021",'Basic Information'!$AG$22="Yes"),AND(B96="2021-2022",'Basic Information'!$AG$25="Yes"),AND(B96="2022-2023",'Basic Information'!$AG$28="Yes")), IF(MROUND(S96,10)&lt;= 250000, 0, IF(AND(MROUND(S96,10)&gt; 250000, MROUND(S96,10)&lt;= 500000), ROUND(ABS(MROUND(S96,10)- 250000)*0.05,0), IF(AND(MROUND(S96,10)&gt; 500000, MROUND(S96,10)&lt;= 750000),  ROUND(12500+ ABS(MROUND(S96,10)- 500000)*0.1,0), IF(AND(MROUND(S96,10)&gt; 750000, MROUND(S96,10)&lt;= 1000000),  ROUND(37500+ ABS(MROUND(S96,10)- 750000)*0.15,0),IF(AND(MROUND(S96,10)&gt; 1000000, MROUND(S96,10)&lt;= 1250000),  ROUND(75000+ ABS(MROUND(S96,10)- 1000000)*0.2,0),IF(AND(MROUND(S96,10)&gt; 1250000, MROUND(S96,10)&lt;= 1500000),  ROUND(125000+ ABS(MROUND(S96,10)- 1250000)*0.25,0), IF(MROUND(S96,10)&gt; 1500000,  ROUND(187500+ABS(MROUND(S96,10)- 1500000)*0.3,0), 0))))))),IF(AND(B96="2023-2024",'Basic Information'!$AG$31="No"), IF(MROUND(S96,10)&lt;= 300000, 0, IF(AND(MROUND(S96,10)&gt; 300000, MROUND(S96,10)&lt;= 600000), ROUND(ABS(MROUND(S96,10)- 300000)*0.05,0), IF(AND(MROUND(S96,10)&gt; 600000, MROUND(S96,10)&lt;= 900000),  ROUND(15000+ ABS(MROUND(S96,10)- 600000)*0.1,0), IF(AND(MROUND(S96,10)&gt; 900000, MROUND(S96,10)&lt;= 1200000),  ROUND(45000+ ABS(MROUND(S96,10)- 900000)*0.15,0),IF(AND(MROUND(S96,10)&gt; 1200000, MROUND(S96,10)&lt;= 1500000),  ROUND(90000+ ABS(MROUND(S96,10)- 1200000)*0.2,0), IF(MROUND(S96,10)&gt; 1500000,  ROUND(150000+ABS(MROUND(S96,10)- 1500000)*0.3,0), 0)))))),0))))))))))))))))</f>
        <v>0</v>
      </c>
      <c r="AY96" s="6">
        <f>IF(OR(B96="2013-2014",B96="2014-2015",B96="2015-2016"),IF(AND(MROUND(S96,10)&lt;=500000,MROUND(S96,10)&lt;&gt;0),IF(AX96&lt;=2000, AX96,2000),0), IF(B96="2016-2017",IF(AND(MROUND(S96,10)&lt;=500000,MROUND(S96,10)&lt;&gt;0),IF(AX96&lt;=5000, AX96,5000),0), IF(OR(B96="2017-2018",B96="2018-2019"),IF(AND(MROUND(S96,10)&lt;=350000,MROUND(S96,10)&lt;&gt;0),IF(AX96&lt;=2500, AX96,2500),0), IF(OR(B96="2019-2020",B96="2020-2021",B96="2021-2022",B96="2022-2023",AND(B96="2023-2024",'Basic Information'!$AG$31="Yes")),IF(AND(MROUND(S96,10)&lt;=500000,MROUND(S96,10)&lt;&gt;0),IF(AX96&lt;=12500, AX96,12500),0), IF(OR(AND(B96="2023-2024",'Basic Information'!$AG$31="No")),IF(AND(MROUND(S96,10)&lt;=700000,MROUND(S96,10)&lt;&gt;0),IF(AX96&lt;=25000, AX96,25000),IF(AND(MROUND(S96,10)&lt;&gt;0,(MROUND(S96,10)-700000)&lt;= AX96), AX96-(MROUND(S96,10)-700000),0)),0)))))</f>
        <v>0</v>
      </c>
      <c r="AZ96" s="6">
        <f t="shared" si="7"/>
        <v>0</v>
      </c>
      <c r="BA96" s="6">
        <f t="shared" si="8"/>
        <v>0</v>
      </c>
    </row>
    <row r="97" spans="2:53" x14ac:dyDescent="0.3">
      <c r="B97" s="342"/>
      <c r="C97" s="343"/>
      <c r="D97" s="343"/>
      <c r="E97" s="343"/>
      <c r="F97" s="344"/>
      <c r="G97" s="345"/>
      <c r="H97" s="346"/>
      <c r="I97" s="346"/>
      <c r="J97" s="346"/>
      <c r="K97" s="346"/>
      <c r="L97" s="347"/>
      <c r="M97" s="345"/>
      <c r="N97" s="346"/>
      <c r="O97" s="346"/>
      <c r="P97" s="346"/>
      <c r="Q97" s="346"/>
      <c r="R97" s="347"/>
      <c r="S97" s="335">
        <f t="shared" si="1"/>
        <v>0</v>
      </c>
      <c r="T97" s="336"/>
      <c r="U97" s="336"/>
      <c r="V97" s="336"/>
      <c r="W97" s="336"/>
      <c r="X97" s="337"/>
      <c r="Y97" s="335">
        <f t="shared" si="2"/>
        <v>0</v>
      </c>
      <c r="Z97" s="336"/>
      <c r="AA97" s="336"/>
      <c r="AB97" s="336"/>
      <c r="AC97" s="336"/>
      <c r="AD97" s="337"/>
      <c r="AE97" s="335">
        <f t="shared" si="3"/>
        <v>0</v>
      </c>
      <c r="AF97" s="336"/>
      <c r="AG97" s="336"/>
      <c r="AH97" s="336"/>
      <c r="AI97" s="336"/>
      <c r="AJ97" s="338"/>
      <c r="AK97" s="339">
        <f t="shared" si="4"/>
        <v>0</v>
      </c>
      <c r="AL97" s="340"/>
      <c r="AM97" s="340"/>
      <c r="AN97" s="340"/>
      <c r="AO97" s="340"/>
      <c r="AP97" s="341"/>
      <c r="AQ97" s="38" t="str">
        <f t="shared" si="9"/>
        <v/>
      </c>
      <c r="AT97" s="6">
        <f>IF( AND(OR(B97="2005-2006",B97="2006-2007"),$U$22&lt;&gt;"Female"),IF( MROUND(G97,10)&lt;= 100000, 0, IF(AND(MROUND(G97,10)&gt; 100000,MROUND(G97,10)&lt;= 150000),  ROUND(ABS(MROUND(G97,10)- 100000)*0.1,0), IF(AND(MROUND(G97,10)&gt; 150000, MROUND(G97,10)&lt;= 250000), ROUND(5000+ ABS(MROUND(G97,10)- 150000)*0.2,0),IF(MROUND(G97,10)&gt; 250000,  ROUND(25000+ABS(MROUND(G97,10)- 250000)*0.3,0),  0)))),IF(AND(OR(B97="2005-2006",B97="2006-2007"),$U$22="Female"),IF(MROUND(G97,10)&lt;= 135000, 0, IF(AND(MROUND(G97,10)&gt; 135000, MROUND(G97,10)&lt;= 150000), ROUND(ABS(MROUND(G97,10)- 135000)*0.1,0), IF(AND(MROUND(G97,10)&gt; 150000, MROUND(G97,10)&lt;= 250000), ROUND(1500+ ABS(MROUND(G97,10)- 150000)*0.2,0),  IF(MROUND(G97,10)&gt; 250000, ROUND(21500+ABS(MROUND(G97,10)- 250000)*0.3,0),0)))),IF(AND(B97="2007-2008",$U$22&lt;&gt;"Female"), IF(MROUND(G97,10)&lt;= 110000,  0,  IF(AND(MROUND(G97,10)&gt; 110000, MROUND(G97,10)&lt;= 150000), ROUND(ABS(MROUND(G97,10)- 110000)*0.1,0),  IF(AND(MROUND(G97,10)&gt; 150000, MROUND(G97,10)&lt;= 250000),  ROUND(4000+ ABS(MROUND(G97,10)- 150000)*0.2,0),   IF(MROUND(G97,10)&gt; 250000,   ROUND(24000+ABS(MROUND(G97,10)- 250000)*0.3,0),0)))),IF(AND(B97="2007-2008",$U$22="Female"), IF(MROUND(G97,10)&lt;= 145000, 0, IF(AND(MROUND(G97,10)&gt; 145000, MROUND(G97,10)&lt;= 150000),     ROUND(ABS(MROUND(G97,10)- 145000)*0.1,0),  IF(AND(MROUND(G97,10)&gt; 150000, MROUND(G97,10)&lt;= 250000),  ROUND(500+ ABS(MROUND(G97,10)- 150000)*0.2,0),  IF(MROUND(G97,10)&gt; 250000, ROUND(20500+ABS(MROUND(G97,10)- 250000)*0.3,0),0)))), IF(AND(B97="2008-2009",$U$22&lt;&gt;"Female"), IF(MROUND(G97,10)&lt;= 150000, 0, IF(AND(MROUND(G97,10)&gt; 150000, MROUND(G97,10)&lt;= 300000), ROUND(ABS(MROUND(G97,10)- 150000)*0.1,0), IF(AND(MROUND(G97,10)&gt; 300000, MROUND(G97,10)&lt;= 500000),  ROUND(15000+ ABS(MROUND(G97,10)- 300000)*0.2,0),  IF(MROUND(G97,10)&gt; 500000,  ROUND(55000+ABS(MROUND(G97,10)- 500000)*0.3,0),0)))), IF(AND(B97="2008-2009",$U$22="Female"), IF(MROUND(G97,10)&lt;= 180000, 0, IF(AND(MROUND(G97,10)&gt; 180000, MROUND(G97,10)&lt;= 300000), ROUND(ABS(MROUND(G97,10)- 180000)*0.1,0), IF(AND(MROUND(G97,10)&gt; 300000, MROUND(G97,10)&lt;= 500000), ROUND(12000+ ABS(MROUND(G97,10)- 300000)*0.2,0),  IF(MROUND(G97,10)&gt; 500000,  ROUND(52000+ABS(MROUND(G97,10)- 500000)*0.3,0),0)))), IF(AND(B97="2009-2010", $U$22&lt;&gt;"Female"), IF(MROUND(G97,10)&lt;= 160000, 0, IF(AND(MROUND(G97,10)&gt; 160000, MROUND(G97,10)&lt;= 300000),ROUND(ABS(MROUND(G97,10)- 160000)*0.1,0), IF(AND(MROUND(G97,10)&gt; 300000, MROUND(G97,10)&lt;= 500000),ROUND(14000+ ABS(MROUND(G97,10)- 300000)*0.2,0),  IF(MROUND(G97,10)&gt; 500000, ROUND(54000+ABS(MROUND(G97,10)- 500000)*0.3,0),0)))),IF(AND(B97="2009-2010",$U$22="Female"), IF(MROUND(G97,10)&lt;= 190000, 0, IF(AND(MROUND(G97,10)&gt; 190000, MROUND(G97,10)&lt;= 300000),ROUND(ABS(MROUND(G97,10)- 190000)*0.1,0), IF(AND(MROUND(G97,10)&gt; 300000, MROUND(G97,10)&lt;= 500000), ROUND(11000+ ABS(MROUND(G97,10)- 300000)*0.2,0),IF(MROUND(G97,10)&gt; 500000,  ROUND(51000+ABS(MROUND(G97,10)- 500000)*0.3,0),0)))), IF(AND(B97="2010-2011",$U$22&lt;&gt;"Female"), IF(MROUND(G97,10)&lt;= 160000, 0, IF(AND(MROUND(G97,10)&gt; 160000, MROUND(G97,10)&lt;= 500000), ROUND(ABS(MROUND(G97,10)- 160000)*0.1,0), IF(AND(MROUND(G97,10)&gt; 500000, MROUND(G97,10)&lt;= 800000), ROUND(34000+ ABS(MROUND(G97,10)- 500000)*0.2,0),  IF(MROUND(G97,10)&gt; 800000,  ROUND(94000+ABS(MROUND(G97,10)- 800000)*0.3,0),0)))), IF(AND(OR(B97="2010-2011",B97="2011-2012"),$U$22="Female"), IF(MROUND(G97,10)&lt;= 190000, 0, IF(AND(MROUND(G97,10)&gt; 190000, MROUND(G97,10)&lt;= 500000), ROUND(ABS(MROUND(G97,10)- 190000)*0.1,0), IF(AND(MROUND(G97,10)&gt; 500000, MROUND(G97,10)&lt;= 800000),  ROUND(31000+ ABS(MROUND(G97,10)- 500000)*0.2,0),  IF(MROUND(G97,10)&gt; 800000,  ROUND(91000+ABS(MROUND(G97,10)- 800000)*0.3,0),0)))), IF(AND(B97="2011-2012", $U$22&lt;&gt;"Female"), IF(MROUND(G97,10)&lt;= 180000, 0, IF(AND(MROUND(G97,10)&gt; 180000, MROUND(G97,10)&lt;= 500000), ROUND(ABS(MROUND(G97,10)- 180000)*0.1,0), IF(AND(MROUND(G97,10)&gt; 500000, MROUND(G97,10)&lt;= 800000),  ROUND(32000+ ABS(MROUND(G97,10)- 500000)*0.2,0),  IF(MROUND(G97,10)&gt; 800000,  ROUND(92000+ABS(MROUND(G97,10)- 800000)*0.3,0),0)))), IF(OR(B97="2012-2013",B97="2013-2014"), IF(MROUND(G97,10)&lt;= 200000, 0, IF(AND(MROUND(G97,10)&gt; 200000, MROUND(G97,10)&lt;= 500000), ROUND(ABS(MROUND(G97,10)- 200000)*0.1,0), IF(AND(MROUND(G97,10)&gt; 500000, MROUND(G97,10)&lt;= 1000000),  ROUND(30000+ ABS(MROUND(G97,10)- 500000)*0.2,0),  IF(MROUND(G97,10)&gt; 1000000,  ROUND(130000+ABS(MROUND(G97,10)- 1000000)*0.3,0),0)))), IF(OR(B97="2014-2015", B97="2015-2016",B97="2016-2017"), IF(MROUND(G97,10)&lt;= 250000, 0, IF(AND(MROUND(G97,10)&gt; 250000, MROUND(G97,10)&lt;= 500000), ROUND(ABS(MROUND(G97,10)- 250000)*0.1,0), IF(AND(MROUND(G97,10)&gt; 500000, MROUND(G97,10)&lt;= 1000000),  ROUND(25000+ ABS(MROUND(G97,10)- 500000)*0.2,0),  IF(MROUND(G97,10)&gt; 1000000,  ROUND(125000+ABS(MROUND(G97,10)- 1000000)*0.3,0), 0)))), IF(OR(B97="2017-2018",B97="2018-2019",B97="2019-2020",AND(B97="2020-2021",'Basic Information'!$AG$22="No"),AND(B97="2021-2022",'Basic Information'!$AG$25="No"),AND(B97="2022-2023",'Basic Information'!$AG$28="No"),AND(B97="2023-2024",'Basic Information'!$AG$31="Yes")), IF(MROUND(G97,10)&lt;= 250000, 0, IF(AND(MROUND(G97,10)&gt; 250000, MROUND(G97,10)&lt;= 500000), ROUND(ABS(MROUND(G97,10)- 250000)*0.05,0), IF(AND(MROUND(G97,10)&gt; 500000, MROUND(G97,10)&lt;= 1000000),  ROUND(12500+ ABS(MROUND(G97,10)- 500000)*0.2,0),  IF(MROUND(G97,10)&gt; 1000000,  ROUND(112500+ABS(MROUND(G97,10)- 1000000)*0.3,0), 0)))),IF(OR(AND(B97="2020-2021",'Basic Information'!$AG$22="Yes"),AND(B97="2021-2022",'Basic Information'!$AG$25="Yes"),AND(B97="2022-2023",'Basic Information'!$AG$28="Yes")), IF(MROUND(G97,10)&lt;= 250000, 0, IF(AND(MROUND(G97,10)&gt; 250000, MROUND(G97,10)&lt;= 500000), ROUND(ABS(MROUND(G97,10)- 250000)*0.05,0), IF(AND(MROUND(G97,10)&gt; 500000, MROUND(G97,10)&lt;= 750000),  ROUND(12500+ ABS(MROUND(G97,10)- 500000)*0.1,0), IF(AND(MROUND(G97,10)&gt; 750000, MROUND(G97,10)&lt;= 1000000),  ROUND(37500+ ABS(MROUND(G97,10)- 750000)*0.15,0),IF(AND(MROUND(G97,10)&gt; 1000000, MROUND(G97,10)&lt;= 1250000),  ROUND(75000+ ABS(MROUND(G97,10)- 1000000)*0.2,0),IF(AND(MROUND(G97,10)&gt; 1250000, MROUND(G97,10)&lt;= 1500000),  ROUND(125000+ ABS(MROUND(G97,10)- 1250000)*0.25,0), IF(MROUND(G97,10)&gt; 1500000,  ROUND(187500+ABS(MROUND(G97,10)- 1500000)*0.3,0), 0))))))),IF(AND(B97="2023-2024",'Basic Information'!$AG$31="No"), IF(MROUND(G97,10)&lt;= 300000, 0, IF(AND(MROUND(G97,10)&gt; 300000, MROUND(G97,10)&lt;= 600000), ROUND(ABS(MROUND(G97,10)- 300000)*0.05,0), IF(AND(MROUND(G97,10)&gt; 600000, MROUND(G97,10)&lt;= 900000),  ROUND(15000+ ABS(MROUND(G97,10)- 600000)*0.1,0), IF(AND(MROUND(G97,10)&gt; 900000, MROUND(G97,10)&lt;= 1200000),  ROUND(45000+ ABS(MROUND(G97,10)- 900000)*0.15,0),IF(AND(MROUND(G97,10)&gt; 1200000, MROUND(G97,10)&lt;= 1500000),  ROUND(90000+ ABS(MROUND(G97,10)- 1200000)*0.2,0), IF(MROUND(G97,10)&gt; 1500000,  ROUND(150000+ABS(MROUND(G97,10)- 1500000)*0.3,0), 0)))))),0))))))))))))))))</f>
        <v>0</v>
      </c>
      <c r="AU97" s="6">
        <f>IF(OR(B97="2013-2014",B97="2014-2015",B97="2015-2016"),IF(AND(MROUND(G97,10)&lt;=500000,MROUND(G97,10)&lt;&gt;0),IF(AT97&lt;=2000, AT97,2000),0), IF(B97="2016-2017",IF(AND(MROUND(G97,10)&lt;=500000,MROUND(G97,10)&lt;&gt;0),IF(AT97&lt;=5000, AT97,5000),0), IF(OR(B97="2017-2018",B97="2018-2019"),IF(AND(MROUND(G97,10)&lt;=350000,MROUND(G97,10)&lt;&gt;0),IF(AT97&lt;=2500, AT97,2500),0), IF(OR(B97="2019-2020",B97="2020-2021",B97="2021-2022",B97="2022-2023",AND(B97="2023-2024",'Basic Information'!$AG$31="Yes")),IF(AND(MROUND(G97,10)&lt;=500000,MROUND(G97,10)&lt;&gt;0),IF(AT97&lt;=12500, AT97,12500),0), IF(OR(AND(B97="2023-2024",'Basic Information'!$AG$31="No")),IF(AND(MROUND(G97,10)&lt;=700000,MROUND(G97,10)&lt;&gt;0),IF(AT97&lt;=25000, AT97,25000),IF(AND(MROUND(G97,10)&lt;&gt;0,(MROUND(G97,10)-700000)&lt;=AT97),AT97-(MROUND(G97,10)-700000),0)),0)))))</f>
        <v>0</v>
      </c>
      <c r="AV97" s="6">
        <f t="shared" si="5"/>
        <v>0</v>
      </c>
      <c r="AW97" s="6">
        <f t="shared" si="6"/>
        <v>0</v>
      </c>
      <c r="AX97" s="6">
        <f>IF( AND(OR(B97="2005-2006",B97="2006-2007"),$U$22&lt;&gt;"Female"),IF( MROUND(S97,10)&lt;= 100000, 0, IF(AND(MROUND(S97,10)&gt; 100000,MROUND(S97,10)&lt;= 150000),  ROUND(ABS(MROUND(S97,10)- 100000)*0.1,0), IF(AND(MROUND(S97,10)&gt; 150000, MROUND(S97,10)&lt;= 250000), ROUND(5000+ ABS(MROUND(S97,10)- 150000)*0.2,0),IF(MROUND(S97,10)&gt; 250000,  ROUND(25000+ABS(MROUND(S97,10)- 250000)*0.3,0),  0)))),IF(AND(OR(B97="2005-2006",B97="2006-2007"),$U$22="Female"),IF(MROUND(S97,10)&lt;= 135000, 0, IF(AND(MROUND(S97,10)&gt; 135000, MROUND(S97,10)&lt;= 150000), ROUND(ABS(MROUND(S97,10)- 135000)*0.1,0), IF(AND(MROUND(S97,10)&gt; 150000, MROUND(S97,10)&lt;= 250000), ROUND(1500+ ABS(MROUND(S97,10)- 150000)*0.2,0),  IF(MROUND(S97,10)&gt; 250000, ROUND(21500+ABS(MROUND(S97,10)- 250000)*0.3,0),0)))),IF(AND(B97="2007-2008",$U$22&lt;&gt;"Female"), IF(MROUND(S97,10)&lt;= 110000,  0,  IF(AND(MROUND(S97,10)&gt; 110000, MROUND(S97,10)&lt;= 150000),     ROUND(ABS(MROUND(S97,10)- 110000)*0.1,0),  IF(AND(MROUND(S97,10)&gt; 150000, MROUND(S97,10)&lt;= 250000),  ROUND(4000+ ABS(MROUND(S97,10)- 150000)*0.2,0),   IF(MROUND(S97,10)&gt; 250000,   ROUND(24000+ABS(MROUND(S97,10)- 250000)*0.3,0),0)))),IF(AND(B97="2007-2008",$U$22="Female"), IF(MROUND(S97,10)&lt;= 145000, 0, IF(AND(MROUND(S97,10)&gt; 145000, MROUND(S97,10)&lt;= 150000),     ROUND(ABS(MROUND(S97,10)- 145000)*0.1,0),  IF(AND(MROUND(S97,10)&gt; 150000, MROUND(S97,10)&lt;= 250000),  ROUND(500+ ABS(MROUND(S97,10)- 150000)*0.2,0),  IF(MROUND(S97,10)&gt; 250000, ROUND(20500+ABS(MROUND(S97,10)- 250000)*0.3,0),0)))), IF(AND(B97="2008-2009",$U$22&lt;&gt;"Female"), IF(MROUND(S97,10)&lt;= 150000, 0, IF(AND(MROUND(S97,10)&gt; 150000, MROUND(S97,10)&lt;= 300000), ROUND(ABS(MROUND(S97,10)- 150000)*0.1,0), IF(AND(MROUND(S97,10)&gt; 300000, MROUND(S97,10)&lt;= 500000),  ROUND(15000+ ABS(MROUND(S97,10)- 300000)*0.2,0),  IF(MROUND(S97,10)&gt; 500000,  ROUND(55000+ABS(MROUND(S97,10)- 500000)*0.3,0),0)))), IF(AND(B97="2008-2009",$U$22="Female"), IF(MROUND(S97,10)&lt;= 180000, 0, IF(AND(MROUND(S97,10)&gt; 180000, MROUND(S97,10)&lt;= 300000), ROUND(ABS(MROUND(S97,10)- 180000)*0.1,0), IF(AND(MROUND(S97,10)&gt; 300000, MROUND(S97,10)&lt;= 500000), ROUND(12000+ ABS(MROUND(S97,10)- 300000)*0.2,0),  IF(MROUND(S97,10)&gt; 500000,  ROUND(52000+ABS(MROUND(S97,10)- 500000)*0.3,0),0)))), IF(AND(B97="2009-2010", $U$22&lt;&gt;"Female"), IF(MROUND(S97,10)&lt;= 160000, 0, IF(AND(MROUND(S97,10)&gt; 160000, MROUND(S97,10)&lt;= 300000),ROUND(ABS(MROUND(S97,10)- 160000)*0.1,0), IF(AND(MROUND(S97,10)&gt; 300000, MROUND(S97,10)&lt;= 500000),ROUND(14000+ ABS(MROUND(S97,10)- 300000)*0.2,0),  IF(MROUND(S97,10)&gt; 500000, ROUND(54000+ABS(MROUND(S97,10)- 500000)*0.3,0),0)))),IF(AND(B97="2009-2010",$U$22="Female"), IF(MROUND(S97,10)&lt;= 190000, 0, IF(AND(MROUND(S97,10)&gt; 190000, MROUND(S97,10)&lt;= 300000),ROUND(ABS(MROUND(S97,10)- 190000)*0.1,0), IF(AND(MROUND(S97,10)&gt; 300000, MROUND(S97,10)&lt;= 500000), ROUND(11000+ ABS(MROUND(S97,10)- 300000)*0.2,0),IF(MROUND(S97,10)&gt; 500000,  ROUND(51000+ABS(MROUND(S97,10)- 500000)*0.3,0),0)))), IF(AND(B97="2010-2011",$U$22&lt;&gt;"Female"), IF(MROUND(S97,10)&lt;= 160000, 0, IF(AND(MROUND(S97,10)&gt; 160000, MROUND(S97,10)&lt;= 500000), ROUND(ABS(MROUND(S97,10)- 160000)*0.1,0), IF(AND(MROUND(S97,10)&gt; 500000, MROUND(S97,10)&lt;= 800000), ROUND(34000+ ABS(MROUND(S97,10)- 500000)*0.2,0),  IF(MROUND(S97,10)&gt; 800000,  ROUND(94000+ABS(MROUND(S97,10)- 800000)*0.3,0),0)))), IF(AND(OR(B97="2010-2011",B97="2011-2012"),$U$22="Female"), IF(MROUND(S97,10)&lt;= 190000, 0, IF(AND(MROUND(S97,10)&gt; 190000, MROUND(S97,10)&lt;= 500000), ROUND(ABS(MROUND(S97,10)- 190000)*0.1,0), IF(AND(MROUND(S97,10)&gt; 500000, MROUND(S97,10)&lt;= 800000),  ROUND(31000+ ABS(MROUND(S97,10)- 500000)*0.2,0),  IF(MROUND(S97,10)&gt; 800000,  ROUND(91000+ABS(MROUND(S97,10)- 800000)*0.3,0),0)))), IF(AND(B97="2011-2012", $U$22&lt;&gt;"Female"), IF(MROUND(S97,10)&lt;= 180000, 0, IF(AND(MROUND(S97,10)&gt; 180000, MROUND(S97,10)&lt;= 500000), ROUND(ABS(MROUND(S97,10)- 180000)*0.1,0), IF(AND(MROUND(S97,10)&gt; 500000, MROUND(S97,10)&lt;= 800000),  ROUND(32000+ ABS(MROUND(S97,10)- 500000)*0.2,0),  IF(MROUND(S97,10)&gt; 800000,  ROUND(92000+ABS(MROUND(S97,10)- 800000)*0.3,0),0)))), IF(OR(B97="2012-2013",B97="2013-2014"), IF(MROUND(S97,10)&lt;= 200000, 0, IF(AND(MROUND(S97,10)&gt; 200000, MROUND(S97,10)&lt;= 500000), ROUND(ABS(MROUND(S97,10)- 200000)*0.1,0), IF(AND(MROUND(S97,10)&gt; 500000, MROUND(S97,10)&lt;= 1000000),  ROUND(30000+ ABS(MROUND(S97,10)- 500000)*0.2,0),  IF(MROUND(S97,10)&gt; 1000000,  ROUND(130000+ABS(MROUND(S97,10)- 1000000)*0.3,0),0)))), IF(OR(B97="2014-2015", B97="2015-2016",B97="2016-2017"), IF(MROUND(S97,10)&lt;= 250000, 0, IF(AND(MROUND(S97,10)&gt; 250000, MROUND(S97,10)&lt;= 500000), ROUND(ABS(MROUND(S97,10)- 250000)*0.1,0), IF(AND(MROUND(S97,10)&gt; 500000, MROUND(S97,10)&lt;= 1000000),  ROUND(25000+ ABS(MROUND(S97,10)- 500000)*0.2,0),  IF(MROUND(S97,10)&gt; 1000000,  ROUND(125000+ABS(MROUND(S97,10)- 1000000)*0.3,0), 0)))),IF(OR(B97="2017-2018",B97="2018-2019",B97="2019-2020",AND(B97="2020-2021",'Basic Information'!$AG$22="No"),AND(B97="2021-2022",'Basic Information'!$AG$25="No"),AND(B97="2022-2023",'Basic Information'!$AG$28="No"),AND(B97="2023-2024",'Basic Information'!$AG$31="Yes")), IF(MROUND(S97,10)&lt;= 250000, 0, IF(AND(MROUND(S97,10)&gt; 250000, MROUND(S97,10)&lt;= 500000), ROUND(ABS(MROUND(S97,10)- 250000)*0.05,0), IF(AND(MROUND(S97,10)&gt; 500000, MROUND(S97,10)&lt;= 1000000),  ROUND(12500+ ABS(MROUND(S97,10)- 500000)*0.2,0),  IF(MROUND(S97,10)&gt; 1000000,  ROUND(112500+ABS(MROUND(S97,10)- 1000000)*0.3,0), 0)))),IF(OR(AND(B97="2020-2021",'Basic Information'!$AG$22="Yes"),AND(B97="2021-2022",'Basic Information'!$AG$25="Yes"),AND(B97="2022-2023",'Basic Information'!$AG$28="Yes")), IF(MROUND(S97,10)&lt;= 250000, 0, IF(AND(MROUND(S97,10)&gt; 250000, MROUND(S97,10)&lt;= 500000), ROUND(ABS(MROUND(S97,10)- 250000)*0.05,0), IF(AND(MROUND(S97,10)&gt; 500000, MROUND(S97,10)&lt;= 750000),  ROUND(12500+ ABS(MROUND(S97,10)- 500000)*0.1,0), IF(AND(MROUND(S97,10)&gt; 750000, MROUND(S97,10)&lt;= 1000000),  ROUND(37500+ ABS(MROUND(S97,10)- 750000)*0.15,0),IF(AND(MROUND(S97,10)&gt; 1000000, MROUND(S97,10)&lt;= 1250000),  ROUND(75000+ ABS(MROUND(S97,10)- 1000000)*0.2,0),IF(AND(MROUND(S97,10)&gt; 1250000, MROUND(S97,10)&lt;= 1500000),  ROUND(125000+ ABS(MROUND(S97,10)- 1250000)*0.25,0), IF(MROUND(S97,10)&gt; 1500000,  ROUND(187500+ABS(MROUND(S97,10)- 1500000)*0.3,0), 0))))))),IF(AND(B97="2023-2024",'Basic Information'!$AG$31="No"), IF(MROUND(S97,10)&lt;= 300000, 0, IF(AND(MROUND(S97,10)&gt; 300000, MROUND(S97,10)&lt;= 600000), ROUND(ABS(MROUND(S97,10)- 300000)*0.05,0), IF(AND(MROUND(S97,10)&gt; 600000, MROUND(S97,10)&lt;= 900000),  ROUND(15000+ ABS(MROUND(S97,10)- 600000)*0.1,0), IF(AND(MROUND(S97,10)&gt; 900000, MROUND(S97,10)&lt;= 1200000),  ROUND(45000+ ABS(MROUND(S97,10)- 900000)*0.15,0),IF(AND(MROUND(S97,10)&gt; 1200000, MROUND(S97,10)&lt;= 1500000),  ROUND(90000+ ABS(MROUND(S97,10)- 1200000)*0.2,0), IF(MROUND(S97,10)&gt; 1500000,  ROUND(150000+ABS(MROUND(S97,10)- 1500000)*0.3,0), 0)))))),0))))))))))))))))</f>
        <v>0</v>
      </c>
      <c r="AY97" s="6">
        <f>IF(OR(B97="2013-2014",B97="2014-2015",B97="2015-2016"),IF(AND(MROUND(S97,10)&lt;=500000,MROUND(S97,10)&lt;&gt;0),IF(AX97&lt;=2000, AX97,2000),0), IF(B97="2016-2017",IF(AND(MROUND(S97,10)&lt;=500000,MROUND(S97,10)&lt;&gt;0),IF(AX97&lt;=5000, AX97,5000),0), IF(OR(B97="2017-2018",B97="2018-2019"),IF(AND(MROUND(S97,10)&lt;=350000,MROUND(S97,10)&lt;&gt;0),IF(AX97&lt;=2500, AX97,2500),0), IF(OR(B97="2019-2020",B97="2020-2021",B97="2021-2022",B97="2022-2023",AND(B97="2023-2024",'Basic Information'!$AG$31="Yes")),IF(AND(MROUND(S97,10)&lt;=500000,MROUND(S97,10)&lt;&gt;0),IF(AX97&lt;=12500, AX97,12500),0), IF(OR(AND(B97="2023-2024",'Basic Information'!$AG$31="No")),IF(AND(MROUND(S97,10)&lt;=700000,MROUND(S97,10)&lt;&gt;0),IF(AX97&lt;=25000, AX97,25000),IF(AND(MROUND(S97,10)&lt;&gt;0,(MROUND(S97,10)-700000)&lt;= AX97), AX97-(MROUND(S97,10)-700000),0)),0)))))</f>
        <v>0</v>
      </c>
      <c r="AZ97" s="6">
        <f t="shared" si="7"/>
        <v>0</v>
      </c>
      <c r="BA97" s="6">
        <f t="shared" si="8"/>
        <v>0</v>
      </c>
    </row>
    <row r="98" spans="2:53" x14ac:dyDescent="0.3">
      <c r="B98" s="342"/>
      <c r="C98" s="343"/>
      <c r="D98" s="343"/>
      <c r="E98" s="343"/>
      <c r="F98" s="344"/>
      <c r="G98" s="345"/>
      <c r="H98" s="346"/>
      <c r="I98" s="346"/>
      <c r="J98" s="346"/>
      <c r="K98" s="346"/>
      <c r="L98" s="347"/>
      <c r="M98" s="345"/>
      <c r="N98" s="346"/>
      <c r="O98" s="346"/>
      <c r="P98" s="346"/>
      <c r="Q98" s="346"/>
      <c r="R98" s="347"/>
      <c r="S98" s="335">
        <f t="shared" si="1"/>
        <v>0</v>
      </c>
      <c r="T98" s="336"/>
      <c r="U98" s="336"/>
      <c r="V98" s="336"/>
      <c r="W98" s="336"/>
      <c r="X98" s="337"/>
      <c r="Y98" s="335">
        <f t="shared" si="2"/>
        <v>0</v>
      </c>
      <c r="Z98" s="336"/>
      <c r="AA98" s="336"/>
      <c r="AB98" s="336"/>
      <c r="AC98" s="336"/>
      <c r="AD98" s="337"/>
      <c r="AE98" s="335">
        <f t="shared" si="3"/>
        <v>0</v>
      </c>
      <c r="AF98" s="336"/>
      <c r="AG98" s="336"/>
      <c r="AH98" s="336"/>
      <c r="AI98" s="336"/>
      <c r="AJ98" s="338"/>
      <c r="AK98" s="339">
        <f t="shared" si="4"/>
        <v>0</v>
      </c>
      <c r="AL98" s="340"/>
      <c r="AM98" s="340"/>
      <c r="AN98" s="340"/>
      <c r="AO98" s="340"/>
      <c r="AP98" s="341"/>
      <c r="AQ98" s="38" t="str">
        <f t="shared" si="9"/>
        <v/>
      </c>
      <c r="AT98" s="6">
        <f>IF( AND(OR(B98="2005-2006",B98="2006-2007"),$U$22&lt;&gt;"Female"),IF( MROUND(G98,10)&lt;= 100000, 0, IF(AND(MROUND(G98,10)&gt; 100000,MROUND(G98,10)&lt;= 150000),  ROUND(ABS(MROUND(G98,10)- 100000)*0.1,0), IF(AND(MROUND(G98,10)&gt; 150000, MROUND(G98,10)&lt;= 250000), ROUND(5000+ ABS(MROUND(G98,10)- 150000)*0.2,0),IF(MROUND(G98,10)&gt; 250000,  ROUND(25000+ABS(MROUND(G98,10)- 250000)*0.3,0),  0)))),IF(AND(OR(B98="2005-2006",B98="2006-2007"),$U$22="Female"),IF(MROUND(G98,10)&lt;= 135000, 0, IF(AND(MROUND(G98,10)&gt; 135000, MROUND(G98,10)&lt;= 150000), ROUND(ABS(MROUND(G98,10)- 135000)*0.1,0), IF(AND(MROUND(G98,10)&gt; 150000, MROUND(G98,10)&lt;= 250000), ROUND(1500+ ABS(MROUND(G98,10)- 150000)*0.2,0),  IF(MROUND(G98,10)&gt; 250000, ROUND(21500+ABS(MROUND(G98,10)- 250000)*0.3,0),0)))),IF(AND(B98="2007-2008",$U$22&lt;&gt;"Female"), IF(MROUND(G98,10)&lt;= 110000,  0,  IF(AND(MROUND(G98,10)&gt; 110000, MROUND(G98,10)&lt;= 150000), ROUND(ABS(MROUND(G98,10)- 110000)*0.1,0),  IF(AND(MROUND(G98,10)&gt; 150000, MROUND(G98,10)&lt;= 250000),  ROUND(4000+ ABS(MROUND(G98,10)- 150000)*0.2,0),   IF(MROUND(G98,10)&gt; 250000,   ROUND(24000+ABS(MROUND(G98,10)- 250000)*0.3,0),0)))),IF(AND(B98="2007-2008",$U$22="Female"), IF(MROUND(G98,10)&lt;= 145000, 0, IF(AND(MROUND(G98,10)&gt; 145000, MROUND(G98,10)&lt;= 150000),     ROUND(ABS(MROUND(G98,10)- 145000)*0.1,0),  IF(AND(MROUND(G98,10)&gt; 150000, MROUND(G98,10)&lt;= 250000),  ROUND(500+ ABS(MROUND(G98,10)- 150000)*0.2,0),  IF(MROUND(G98,10)&gt; 250000, ROUND(20500+ABS(MROUND(G98,10)- 250000)*0.3,0),0)))), IF(AND(B98="2008-2009",$U$22&lt;&gt;"Female"), IF(MROUND(G98,10)&lt;= 150000, 0, IF(AND(MROUND(G98,10)&gt; 150000, MROUND(G98,10)&lt;= 300000), ROUND(ABS(MROUND(G98,10)- 150000)*0.1,0), IF(AND(MROUND(G98,10)&gt; 300000, MROUND(G98,10)&lt;= 500000),  ROUND(15000+ ABS(MROUND(G98,10)- 300000)*0.2,0),  IF(MROUND(G98,10)&gt; 500000,  ROUND(55000+ABS(MROUND(G98,10)- 500000)*0.3,0),0)))), IF(AND(B98="2008-2009",$U$22="Female"), IF(MROUND(G98,10)&lt;= 180000, 0, IF(AND(MROUND(G98,10)&gt; 180000, MROUND(G98,10)&lt;= 300000), ROUND(ABS(MROUND(G98,10)- 180000)*0.1,0), IF(AND(MROUND(G98,10)&gt; 300000, MROUND(G98,10)&lt;= 500000), ROUND(12000+ ABS(MROUND(G98,10)- 300000)*0.2,0),  IF(MROUND(G98,10)&gt; 500000,  ROUND(52000+ABS(MROUND(G98,10)- 500000)*0.3,0),0)))), IF(AND(B98="2009-2010", $U$22&lt;&gt;"Female"), IF(MROUND(G98,10)&lt;= 160000, 0, IF(AND(MROUND(G98,10)&gt; 160000, MROUND(G98,10)&lt;= 300000),ROUND(ABS(MROUND(G98,10)- 160000)*0.1,0), IF(AND(MROUND(G98,10)&gt; 300000, MROUND(G98,10)&lt;= 500000),ROUND(14000+ ABS(MROUND(G98,10)- 300000)*0.2,0),  IF(MROUND(G98,10)&gt; 500000, ROUND(54000+ABS(MROUND(G98,10)- 500000)*0.3,0),0)))),IF(AND(B98="2009-2010",$U$22="Female"), IF(MROUND(G98,10)&lt;= 190000, 0, IF(AND(MROUND(G98,10)&gt; 190000, MROUND(G98,10)&lt;= 300000),ROUND(ABS(MROUND(G98,10)- 190000)*0.1,0), IF(AND(MROUND(G98,10)&gt; 300000, MROUND(G98,10)&lt;= 500000), ROUND(11000+ ABS(MROUND(G98,10)- 300000)*0.2,0),IF(MROUND(G98,10)&gt; 500000,  ROUND(51000+ABS(MROUND(G98,10)- 500000)*0.3,0),0)))), IF(AND(B98="2010-2011",$U$22&lt;&gt;"Female"), IF(MROUND(G98,10)&lt;= 160000, 0, IF(AND(MROUND(G98,10)&gt; 160000, MROUND(G98,10)&lt;= 500000), ROUND(ABS(MROUND(G98,10)- 160000)*0.1,0), IF(AND(MROUND(G98,10)&gt; 500000, MROUND(G98,10)&lt;= 800000), ROUND(34000+ ABS(MROUND(G98,10)- 500000)*0.2,0),  IF(MROUND(G98,10)&gt; 800000,  ROUND(94000+ABS(MROUND(G98,10)- 800000)*0.3,0),0)))), IF(AND(OR(B98="2010-2011",B98="2011-2012"),$U$22="Female"), IF(MROUND(G98,10)&lt;= 190000, 0, IF(AND(MROUND(G98,10)&gt; 190000, MROUND(G98,10)&lt;= 500000), ROUND(ABS(MROUND(G98,10)- 190000)*0.1,0), IF(AND(MROUND(G98,10)&gt; 500000, MROUND(G98,10)&lt;= 800000),  ROUND(31000+ ABS(MROUND(G98,10)- 500000)*0.2,0),  IF(MROUND(G98,10)&gt; 800000,  ROUND(91000+ABS(MROUND(G98,10)- 800000)*0.3,0),0)))), IF(AND(B98="2011-2012", $U$22&lt;&gt;"Female"), IF(MROUND(G98,10)&lt;= 180000, 0, IF(AND(MROUND(G98,10)&gt; 180000, MROUND(G98,10)&lt;= 500000), ROUND(ABS(MROUND(G98,10)- 180000)*0.1,0), IF(AND(MROUND(G98,10)&gt; 500000, MROUND(G98,10)&lt;= 800000),  ROUND(32000+ ABS(MROUND(G98,10)- 500000)*0.2,0),  IF(MROUND(G98,10)&gt; 800000,  ROUND(92000+ABS(MROUND(G98,10)- 800000)*0.3,0),0)))), IF(OR(B98="2012-2013",B98="2013-2014"), IF(MROUND(G98,10)&lt;= 200000, 0, IF(AND(MROUND(G98,10)&gt; 200000, MROUND(G98,10)&lt;= 500000), ROUND(ABS(MROUND(G98,10)- 200000)*0.1,0), IF(AND(MROUND(G98,10)&gt; 500000, MROUND(G98,10)&lt;= 1000000),  ROUND(30000+ ABS(MROUND(G98,10)- 500000)*0.2,0),  IF(MROUND(G98,10)&gt; 1000000,  ROUND(130000+ABS(MROUND(G98,10)- 1000000)*0.3,0),0)))), IF(OR(B98="2014-2015", B98="2015-2016",B98="2016-2017"), IF(MROUND(G98,10)&lt;= 250000, 0, IF(AND(MROUND(G98,10)&gt; 250000, MROUND(G98,10)&lt;= 500000), ROUND(ABS(MROUND(G98,10)- 250000)*0.1,0), IF(AND(MROUND(G98,10)&gt; 500000, MROUND(G98,10)&lt;= 1000000),  ROUND(25000+ ABS(MROUND(G98,10)- 500000)*0.2,0),  IF(MROUND(G98,10)&gt; 1000000,  ROUND(125000+ABS(MROUND(G98,10)- 1000000)*0.3,0), 0)))), IF(OR(B98="2017-2018",B98="2018-2019",B98="2019-2020",AND(B98="2020-2021",'Basic Information'!$AG$22="No"),AND(B98="2021-2022",'Basic Information'!$AG$25="No"),AND(B98="2022-2023",'Basic Information'!$AG$28="No"),AND(B98="2023-2024",'Basic Information'!$AG$31="Yes")), IF(MROUND(G98,10)&lt;= 250000, 0, IF(AND(MROUND(G98,10)&gt; 250000, MROUND(G98,10)&lt;= 500000), ROUND(ABS(MROUND(G98,10)- 250000)*0.05,0), IF(AND(MROUND(G98,10)&gt; 500000, MROUND(G98,10)&lt;= 1000000),  ROUND(12500+ ABS(MROUND(G98,10)- 500000)*0.2,0),  IF(MROUND(G98,10)&gt; 1000000,  ROUND(112500+ABS(MROUND(G98,10)- 1000000)*0.3,0), 0)))),IF(OR(AND(B98="2020-2021",'Basic Information'!$AG$22="Yes"),AND(B98="2021-2022",'Basic Information'!$AG$25="Yes"),AND(B98="2022-2023",'Basic Information'!$AG$28="Yes")), IF(MROUND(G98,10)&lt;= 250000, 0, IF(AND(MROUND(G98,10)&gt; 250000, MROUND(G98,10)&lt;= 500000), ROUND(ABS(MROUND(G98,10)- 250000)*0.05,0), IF(AND(MROUND(G98,10)&gt; 500000, MROUND(G98,10)&lt;= 750000),  ROUND(12500+ ABS(MROUND(G98,10)- 500000)*0.1,0), IF(AND(MROUND(G98,10)&gt; 750000, MROUND(G98,10)&lt;= 1000000),  ROUND(37500+ ABS(MROUND(G98,10)- 750000)*0.15,0),IF(AND(MROUND(G98,10)&gt; 1000000, MROUND(G98,10)&lt;= 1250000),  ROUND(75000+ ABS(MROUND(G98,10)- 1000000)*0.2,0),IF(AND(MROUND(G98,10)&gt; 1250000, MROUND(G98,10)&lt;= 1500000),  ROUND(125000+ ABS(MROUND(G98,10)- 1250000)*0.25,0), IF(MROUND(G98,10)&gt; 1500000,  ROUND(187500+ABS(MROUND(G98,10)- 1500000)*0.3,0), 0))))))),IF(AND(B98="2023-2024",'Basic Information'!$AG$31="No"), IF(MROUND(G98,10)&lt;= 300000, 0, IF(AND(MROUND(G98,10)&gt; 300000, MROUND(G98,10)&lt;= 600000), ROUND(ABS(MROUND(G98,10)- 300000)*0.05,0), IF(AND(MROUND(G98,10)&gt; 600000, MROUND(G98,10)&lt;= 900000),  ROUND(15000+ ABS(MROUND(G98,10)- 600000)*0.1,0), IF(AND(MROUND(G98,10)&gt; 900000, MROUND(G98,10)&lt;= 1200000),  ROUND(45000+ ABS(MROUND(G98,10)- 900000)*0.15,0),IF(AND(MROUND(G98,10)&gt; 1200000, MROUND(G98,10)&lt;= 1500000),  ROUND(90000+ ABS(MROUND(G98,10)- 1200000)*0.2,0), IF(MROUND(G98,10)&gt; 1500000,  ROUND(150000+ABS(MROUND(G98,10)- 1500000)*0.3,0), 0)))))),0))))))))))))))))</f>
        <v>0</v>
      </c>
      <c r="AU98" s="6">
        <f>IF(OR(B98="2013-2014",B98="2014-2015",B98="2015-2016"),IF(AND(MROUND(G98,10)&lt;=500000,MROUND(G98,10)&lt;&gt;0),IF(AT98&lt;=2000, AT98,2000),0), IF(B98="2016-2017",IF(AND(MROUND(G98,10)&lt;=500000,MROUND(G98,10)&lt;&gt;0),IF(AT98&lt;=5000, AT98,5000),0), IF(OR(B98="2017-2018",B98="2018-2019"),IF(AND(MROUND(G98,10)&lt;=350000,MROUND(G98,10)&lt;&gt;0),IF(AT98&lt;=2500, AT98,2500),0), IF(OR(B98="2019-2020",B98="2020-2021",B98="2021-2022",B98="2022-2023",AND(B98="2023-2024",'Basic Information'!$AG$31="Yes")),IF(AND(MROUND(G98,10)&lt;=500000,MROUND(G98,10)&lt;&gt;0),IF(AT98&lt;=12500, AT98,12500),0), IF(OR(AND(B98="2023-2024",'Basic Information'!$AG$31="No")),IF(AND(MROUND(G98,10)&lt;=700000,MROUND(G98,10)&lt;&gt;0),IF(AT98&lt;=25000, AT98,25000),IF(AND(MROUND(G98,10)&lt;&gt;0,(MROUND(G98,10)-700000)&lt;=AT98),AT98-(MROUND(G98,10)-700000),0)),0)))))</f>
        <v>0</v>
      </c>
      <c r="AV98" s="6">
        <f t="shared" si="5"/>
        <v>0</v>
      </c>
      <c r="AW98" s="6">
        <f t="shared" si="6"/>
        <v>0</v>
      </c>
      <c r="AX98" s="6">
        <f>IF( AND(OR(B98="2005-2006",B98="2006-2007"),$U$22&lt;&gt;"Female"),IF( MROUND(S98,10)&lt;= 100000, 0, IF(AND(MROUND(S98,10)&gt; 100000,MROUND(S98,10)&lt;= 150000),  ROUND(ABS(MROUND(S98,10)- 100000)*0.1,0), IF(AND(MROUND(S98,10)&gt; 150000, MROUND(S98,10)&lt;= 250000), ROUND(5000+ ABS(MROUND(S98,10)- 150000)*0.2,0),IF(MROUND(S98,10)&gt; 250000,  ROUND(25000+ABS(MROUND(S98,10)- 250000)*0.3,0),  0)))),IF(AND(OR(B98="2005-2006",B98="2006-2007"),$U$22="Female"),IF(MROUND(S98,10)&lt;= 135000, 0, IF(AND(MROUND(S98,10)&gt; 135000, MROUND(S98,10)&lt;= 150000), ROUND(ABS(MROUND(S98,10)- 135000)*0.1,0), IF(AND(MROUND(S98,10)&gt; 150000, MROUND(S98,10)&lt;= 250000), ROUND(1500+ ABS(MROUND(S98,10)- 150000)*0.2,0),  IF(MROUND(S98,10)&gt; 250000, ROUND(21500+ABS(MROUND(S98,10)- 250000)*0.3,0),0)))),IF(AND(B98="2007-2008",$U$22&lt;&gt;"Female"), IF(MROUND(S98,10)&lt;= 110000,  0,  IF(AND(MROUND(S98,10)&gt; 110000, MROUND(S98,10)&lt;= 150000),     ROUND(ABS(MROUND(S98,10)- 110000)*0.1,0),  IF(AND(MROUND(S98,10)&gt; 150000, MROUND(S98,10)&lt;= 250000),  ROUND(4000+ ABS(MROUND(S98,10)- 150000)*0.2,0),   IF(MROUND(S98,10)&gt; 250000,   ROUND(24000+ABS(MROUND(S98,10)- 250000)*0.3,0),0)))),IF(AND(B98="2007-2008",$U$22="Female"), IF(MROUND(S98,10)&lt;= 145000, 0, IF(AND(MROUND(S98,10)&gt; 145000, MROUND(S98,10)&lt;= 150000),     ROUND(ABS(MROUND(S98,10)- 145000)*0.1,0),  IF(AND(MROUND(S98,10)&gt; 150000, MROUND(S98,10)&lt;= 250000),  ROUND(500+ ABS(MROUND(S98,10)- 150000)*0.2,0),  IF(MROUND(S98,10)&gt; 250000, ROUND(20500+ABS(MROUND(S98,10)- 250000)*0.3,0),0)))), IF(AND(B98="2008-2009",$U$22&lt;&gt;"Female"), IF(MROUND(S98,10)&lt;= 150000, 0, IF(AND(MROUND(S98,10)&gt; 150000, MROUND(S98,10)&lt;= 300000), ROUND(ABS(MROUND(S98,10)- 150000)*0.1,0), IF(AND(MROUND(S98,10)&gt; 300000, MROUND(S98,10)&lt;= 500000),  ROUND(15000+ ABS(MROUND(S98,10)- 300000)*0.2,0),  IF(MROUND(S98,10)&gt; 500000,  ROUND(55000+ABS(MROUND(S98,10)- 500000)*0.3,0),0)))), IF(AND(B98="2008-2009",$U$22="Female"), IF(MROUND(S98,10)&lt;= 180000, 0, IF(AND(MROUND(S98,10)&gt; 180000, MROUND(S98,10)&lt;= 300000), ROUND(ABS(MROUND(S98,10)- 180000)*0.1,0), IF(AND(MROUND(S98,10)&gt; 300000, MROUND(S98,10)&lt;= 500000), ROUND(12000+ ABS(MROUND(S98,10)- 300000)*0.2,0),  IF(MROUND(S98,10)&gt; 500000,  ROUND(52000+ABS(MROUND(S98,10)- 500000)*0.3,0),0)))), IF(AND(B98="2009-2010", $U$22&lt;&gt;"Female"), IF(MROUND(S98,10)&lt;= 160000, 0, IF(AND(MROUND(S98,10)&gt; 160000, MROUND(S98,10)&lt;= 300000),ROUND(ABS(MROUND(S98,10)- 160000)*0.1,0), IF(AND(MROUND(S98,10)&gt; 300000, MROUND(S98,10)&lt;= 500000),ROUND(14000+ ABS(MROUND(S98,10)- 300000)*0.2,0),  IF(MROUND(S98,10)&gt; 500000, ROUND(54000+ABS(MROUND(S98,10)- 500000)*0.3,0),0)))),IF(AND(B98="2009-2010",$U$22="Female"), IF(MROUND(S98,10)&lt;= 190000, 0, IF(AND(MROUND(S98,10)&gt; 190000, MROUND(S98,10)&lt;= 300000),ROUND(ABS(MROUND(S98,10)- 190000)*0.1,0), IF(AND(MROUND(S98,10)&gt; 300000, MROUND(S98,10)&lt;= 500000), ROUND(11000+ ABS(MROUND(S98,10)- 300000)*0.2,0),IF(MROUND(S98,10)&gt; 500000,  ROUND(51000+ABS(MROUND(S98,10)- 500000)*0.3,0),0)))), IF(AND(B98="2010-2011",$U$22&lt;&gt;"Female"), IF(MROUND(S98,10)&lt;= 160000, 0, IF(AND(MROUND(S98,10)&gt; 160000, MROUND(S98,10)&lt;= 500000), ROUND(ABS(MROUND(S98,10)- 160000)*0.1,0), IF(AND(MROUND(S98,10)&gt; 500000, MROUND(S98,10)&lt;= 800000), ROUND(34000+ ABS(MROUND(S98,10)- 500000)*0.2,0),  IF(MROUND(S98,10)&gt; 800000,  ROUND(94000+ABS(MROUND(S98,10)- 800000)*0.3,0),0)))), IF(AND(OR(B98="2010-2011",B98="2011-2012"),$U$22="Female"), IF(MROUND(S98,10)&lt;= 190000, 0, IF(AND(MROUND(S98,10)&gt; 190000, MROUND(S98,10)&lt;= 500000), ROUND(ABS(MROUND(S98,10)- 190000)*0.1,0), IF(AND(MROUND(S98,10)&gt; 500000, MROUND(S98,10)&lt;= 800000),  ROUND(31000+ ABS(MROUND(S98,10)- 500000)*0.2,0),  IF(MROUND(S98,10)&gt; 800000,  ROUND(91000+ABS(MROUND(S98,10)- 800000)*0.3,0),0)))), IF(AND(B98="2011-2012", $U$22&lt;&gt;"Female"), IF(MROUND(S98,10)&lt;= 180000, 0, IF(AND(MROUND(S98,10)&gt; 180000, MROUND(S98,10)&lt;= 500000), ROUND(ABS(MROUND(S98,10)- 180000)*0.1,0), IF(AND(MROUND(S98,10)&gt; 500000, MROUND(S98,10)&lt;= 800000),  ROUND(32000+ ABS(MROUND(S98,10)- 500000)*0.2,0),  IF(MROUND(S98,10)&gt; 800000,  ROUND(92000+ABS(MROUND(S98,10)- 800000)*0.3,0),0)))), IF(OR(B98="2012-2013",B98="2013-2014"), IF(MROUND(S98,10)&lt;= 200000, 0, IF(AND(MROUND(S98,10)&gt; 200000, MROUND(S98,10)&lt;= 500000), ROUND(ABS(MROUND(S98,10)- 200000)*0.1,0), IF(AND(MROUND(S98,10)&gt; 500000, MROUND(S98,10)&lt;= 1000000),  ROUND(30000+ ABS(MROUND(S98,10)- 500000)*0.2,0),  IF(MROUND(S98,10)&gt; 1000000,  ROUND(130000+ABS(MROUND(S98,10)- 1000000)*0.3,0),0)))), IF(OR(B98="2014-2015", B98="2015-2016",B98="2016-2017"), IF(MROUND(S98,10)&lt;= 250000, 0, IF(AND(MROUND(S98,10)&gt; 250000, MROUND(S98,10)&lt;= 500000), ROUND(ABS(MROUND(S98,10)- 250000)*0.1,0), IF(AND(MROUND(S98,10)&gt; 500000, MROUND(S98,10)&lt;= 1000000),  ROUND(25000+ ABS(MROUND(S98,10)- 500000)*0.2,0),  IF(MROUND(S98,10)&gt; 1000000,  ROUND(125000+ABS(MROUND(S98,10)- 1000000)*0.3,0), 0)))),IF(OR(B98="2017-2018",B98="2018-2019",B98="2019-2020",AND(B98="2020-2021",'Basic Information'!$AG$22="No"),AND(B98="2021-2022",'Basic Information'!$AG$25="No"),AND(B98="2022-2023",'Basic Information'!$AG$28="No"),AND(B98="2023-2024",'Basic Information'!$AG$31="Yes")), IF(MROUND(S98,10)&lt;= 250000, 0, IF(AND(MROUND(S98,10)&gt; 250000, MROUND(S98,10)&lt;= 500000), ROUND(ABS(MROUND(S98,10)- 250000)*0.05,0), IF(AND(MROUND(S98,10)&gt; 500000, MROUND(S98,10)&lt;= 1000000),  ROUND(12500+ ABS(MROUND(S98,10)- 500000)*0.2,0),  IF(MROUND(S98,10)&gt; 1000000,  ROUND(112500+ABS(MROUND(S98,10)- 1000000)*0.3,0), 0)))),IF(OR(AND(B98="2020-2021",'Basic Information'!$AG$22="Yes"),AND(B98="2021-2022",'Basic Information'!$AG$25="Yes"),AND(B98="2022-2023",'Basic Information'!$AG$28="Yes")), IF(MROUND(S98,10)&lt;= 250000, 0, IF(AND(MROUND(S98,10)&gt; 250000, MROUND(S98,10)&lt;= 500000), ROUND(ABS(MROUND(S98,10)- 250000)*0.05,0), IF(AND(MROUND(S98,10)&gt; 500000, MROUND(S98,10)&lt;= 750000),  ROUND(12500+ ABS(MROUND(S98,10)- 500000)*0.1,0), IF(AND(MROUND(S98,10)&gt; 750000, MROUND(S98,10)&lt;= 1000000),  ROUND(37500+ ABS(MROUND(S98,10)- 750000)*0.15,0),IF(AND(MROUND(S98,10)&gt; 1000000, MROUND(S98,10)&lt;= 1250000),  ROUND(75000+ ABS(MROUND(S98,10)- 1000000)*0.2,0),IF(AND(MROUND(S98,10)&gt; 1250000, MROUND(S98,10)&lt;= 1500000),  ROUND(125000+ ABS(MROUND(S98,10)- 1250000)*0.25,0), IF(MROUND(S98,10)&gt; 1500000,  ROUND(187500+ABS(MROUND(S98,10)- 1500000)*0.3,0), 0))))))),IF(AND(B98="2023-2024",'Basic Information'!$AG$31="No"), IF(MROUND(S98,10)&lt;= 300000, 0, IF(AND(MROUND(S98,10)&gt; 300000, MROUND(S98,10)&lt;= 600000), ROUND(ABS(MROUND(S98,10)- 300000)*0.05,0), IF(AND(MROUND(S98,10)&gt; 600000, MROUND(S98,10)&lt;= 900000),  ROUND(15000+ ABS(MROUND(S98,10)- 600000)*0.1,0), IF(AND(MROUND(S98,10)&gt; 900000, MROUND(S98,10)&lt;= 1200000),  ROUND(45000+ ABS(MROUND(S98,10)- 900000)*0.15,0),IF(AND(MROUND(S98,10)&gt; 1200000, MROUND(S98,10)&lt;= 1500000),  ROUND(90000+ ABS(MROUND(S98,10)- 1200000)*0.2,0), IF(MROUND(S98,10)&gt; 1500000,  ROUND(150000+ABS(MROUND(S98,10)- 1500000)*0.3,0), 0)))))),0))))))))))))))))</f>
        <v>0</v>
      </c>
      <c r="AY98" s="6">
        <f>IF(OR(B98="2013-2014",B98="2014-2015",B98="2015-2016"),IF(AND(MROUND(S98,10)&lt;=500000,MROUND(S98,10)&lt;&gt;0),IF(AX98&lt;=2000, AX98,2000),0), IF(B98="2016-2017",IF(AND(MROUND(S98,10)&lt;=500000,MROUND(S98,10)&lt;&gt;0),IF(AX98&lt;=5000, AX98,5000),0), IF(OR(B98="2017-2018",B98="2018-2019"),IF(AND(MROUND(S98,10)&lt;=350000,MROUND(S98,10)&lt;&gt;0),IF(AX98&lt;=2500, AX98,2500),0), IF(OR(B98="2019-2020",B98="2020-2021",B98="2021-2022",B98="2022-2023",AND(B98="2023-2024",'Basic Information'!$AG$31="Yes")),IF(AND(MROUND(S98,10)&lt;=500000,MROUND(S98,10)&lt;&gt;0),IF(AX98&lt;=12500, AX98,12500),0), IF(OR(AND(B98="2023-2024",'Basic Information'!$AG$31="No")),IF(AND(MROUND(S98,10)&lt;=700000,MROUND(S98,10)&lt;&gt;0),IF(AX98&lt;=25000, AX98,25000),IF(AND(MROUND(S98,10)&lt;&gt;0,(MROUND(S98,10)-700000)&lt;= AX98), AX98-(MROUND(S98,10)-700000),0)),0)))))</f>
        <v>0</v>
      </c>
      <c r="AZ98" s="6">
        <f t="shared" si="7"/>
        <v>0</v>
      </c>
      <c r="BA98" s="6">
        <f t="shared" si="8"/>
        <v>0</v>
      </c>
    </row>
    <row r="99" spans="2:53" x14ac:dyDescent="0.3">
      <c r="B99" s="342"/>
      <c r="C99" s="343"/>
      <c r="D99" s="343"/>
      <c r="E99" s="343"/>
      <c r="F99" s="344"/>
      <c r="G99" s="345"/>
      <c r="H99" s="346"/>
      <c r="I99" s="346"/>
      <c r="J99" s="346"/>
      <c r="K99" s="346"/>
      <c r="L99" s="347"/>
      <c r="M99" s="345"/>
      <c r="N99" s="346"/>
      <c r="O99" s="346"/>
      <c r="P99" s="346"/>
      <c r="Q99" s="346"/>
      <c r="R99" s="347"/>
      <c r="S99" s="335">
        <f t="shared" si="1"/>
        <v>0</v>
      </c>
      <c r="T99" s="336"/>
      <c r="U99" s="336"/>
      <c r="V99" s="336"/>
      <c r="W99" s="336"/>
      <c r="X99" s="337"/>
      <c r="Y99" s="335">
        <f t="shared" si="2"/>
        <v>0</v>
      </c>
      <c r="Z99" s="336"/>
      <c r="AA99" s="336"/>
      <c r="AB99" s="336"/>
      <c r="AC99" s="336"/>
      <c r="AD99" s="337"/>
      <c r="AE99" s="335">
        <f t="shared" si="3"/>
        <v>0</v>
      </c>
      <c r="AF99" s="336"/>
      <c r="AG99" s="336"/>
      <c r="AH99" s="336"/>
      <c r="AI99" s="336"/>
      <c r="AJ99" s="338"/>
      <c r="AK99" s="339">
        <f t="shared" si="4"/>
        <v>0</v>
      </c>
      <c r="AL99" s="340"/>
      <c r="AM99" s="340"/>
      <c r="AN99" s="340"/>
      <c r="AO99" s="340"/>
      <c r="AP99" s="341"/>
      <c r="AQ99" s="38" t="str">
        <f t="shared" si="9"/>
        <v/>
      </c>
      <c r="AT99" s="6">
        <f>IF( AND(OR(B99="2005-2006",B99="2006-2007"),$U$22&lt;&gt;"Female"),IF( MROUND(G99,10)&lt;= 100000, 0, IF(AND(MROUND(G99,10)&gt; 100000,MROUND(G99,10)&lt;= 150000),  ROUND(ABS(MROUND(G99,10)- 100000)*0.1,0), IF(AND(MROUND(G99,10)&gt; 150000, MROUND(G99,10)&lt;= 250000), ROUND(5000+ ABS(MROUND(G99,10)- 150000)*0.2,0),IF(MROUND(G99,10)&gt; 250000,  ROUND(25000+ABS(MROUND(G99,10)- 250000)*0.3,0),  0)))),IF(AND(OR(B99="2005-2006",B99="2006-2007"),$U$22="Female"),IF(MROUND(G99,10)&lt;= 135000, 0, IF(AND(MROUND(G99,10)&gt; 135000, MROUND(G99,10)&lt;= 150000), ROUND(ABS(MROUND(G99,10)- 135000)*0.1,0), IF(AND(MROUND(G99,10)&gt; 150000, MROUND(G99,10)&lt;= 250000), ROUND(1500+ ABS(MROUND(G99,10)- 150000)*0.2,0),  IF(MROUND(G99,10)&gt; 250000, ROUND(21500+ABS(MROUND(G99,10)- 250000)*0.3,0),0)))),IF(AND(B99="2007-2008",$U$22&lt;&gt;"Female"), IF(MROUND(G99,10)&lt;= 110000,  0,  IF(AND(MROUND(G99,10)&gt; 110000, MROUND(G99,10)&lt;= 150000), ROUND(ABS(MROUND(G99,10)- 110000)*0.1,0),  IF(AND(MROUND(G99,10)&gt; 150000, MROUND(G99,10)&lt;= 250000),  ROUND(4000+ ABS(MROUND(G99,10)- 150000)*0.2,0),   IF(MROUND(G99,10)&gt; 250000,   ROUND(24000+ABS(MROUND(G99,10)- 250000)*0.3,0),0)))),IF(AND(B99="2007-2008",$U$22="Female"), IF(MROUND(G99,10)&lt;= 145000, 0, IF(AND(MROUND(G99,10)&gt; 145000, MROUND(G99,10)&lt;= 150000),     ROUND(ABS(MROUND(G99,10)- 145000)*0.1,0),  IF(AND(MROUND(G99,10)&gt; 150000, MROUND(G99,10)&lt;= 250000),  ROUND(500+ ABS(MROUND(G99,10)- 150000)*0.2,0),  IF(MROUND(G99,10)&gt; 250000, ROUND(20500+ABS(MROUND(G99,10)- 250000)*0.3,0),0)))), IF(AND(B99="2008-2009",$U$22&lt;&gt;"Female"), IF(MROUND(G99,10)&lt;= 150000, 0, IF(AND(MROUND(G99,10)&gt; 150000, MROUND(G99,10)&lt;= 300000), ROUND(ABS(MROUND(G99,10)- 150000)*0.1,0), IF(AND(MROUND(G99,10)&gt; 300000, MROUND(G99,10)&lt;= 500000),  ROUND(15000+ ABS(MROUND(G99,10)- 300000)*0.2,0),  IF(MROUND(G99,10)&gt; 500000,  ROUND(55000+ABS(MROUND(G99,10)- 500000)*0.3,0),0)))), IF(AND(B99="2008-2009",$U$22="Female"), IF(MROUND(G99,10)&lt;= 180000, 0, IF(AND(MROUND(G99,10)&gt; 180000, MROUND(G99,10)&lt;= 300000), ROUND(ABS(MROUND(G99,10)- 180000)*0.1,0), IF(AND(MROUND(G99,10)&gt; 300000, MROUND(G99,10)&lt;= 500000), ROUND(12000+ ABS(MROUND(G99,10)- 300000)*0.2,0),  IF(MROUND(G99,10)&gt; 500000,  ROUND(52000+ABS(MROUND(G99,10)- 500000)*0.3,0),0)))), IF(AND(B99="2009-2010", $U$22&lt;&gt;"Female"), IF(MROUND(G99,10)&lt;= 160000, 0, IF(AND(MROUND(G99,10)&gt; 160000, MROUND(G99,10)&lt;= 300000),ROUND(ABS(MROUND(G99,10)- 160000)*0.1,0), IF(AND(MROUND(G99,10)&gt; 300000, MROUND(G99,10)&lt;= 500000),ROUND(14000+ ABS(MROUND(G99,10)- 300000)*0.2,0),  IF(MROUND(G99,10)&gt; 500000, ROUND(54000+ABS(MROUND(G99,10)- 500000)*0.3,0),0)))),IF(AND(B99="2009-2010",$U$22="Female"), IF(MROUND(G99,10)&lt;= 190000, 0, IF(AND(MROUND(G99,10)&gt; 190000, MROUND(G99,10)&lt;= 300000),ROUND(ABS(MROUND(G99,10)- 190000)*0.1,0), IF(AND(MROUND(G99,10)&gt; 300000, MROUND(G99,10)&lt;= 500000), ROUND(11000+ ABS(MROUND(G99,10)- 300000)*0.2,0),IF(MROUND(G99,10)&gt; 500000,  ROUND(51000+ABS(MROUND(G99,10)- 500000)*0.3,0),0)))), IF(AND(B99="2010-2011",$U$22&lt;&gt;"Female"), IF(MROUND(G99,10)&lt;= 160000, 0, IF(AND(MROUND(G99,10)&gt; 160000, MROUND(G99,10)&lt;= 500000), ROUND(ABS(MROUND(G99,10)- 160000)*0.1,0), IF(AND(MROUND(G99,10)&gt; 500000, MROUND(G99,10)&lt;= 800000), ROUND(34000+ ABS(MROUND(G99,10)- 500000)*0.2,0),  IF(MROUND(G99,10)&gt; 800000,  ROUND(94000+ABS(MROUND(G99,10)- 800000)*0.3,0),0)))), IF(AND(OR(B99="2010-2011",B99="2011-2012"),$U$22="Female"), IF(MROUND(G99,10)&lt;= 190000, 0, IF(AND(MROUND(G99,10)&gt; 190000, MROUND(G99,10)&lt;= 500000), ROUND(ABS(MROUND(G99,10)- 190000)*0.1,0), IF(AND(MROUND(G99,10)&gt; 500000, MROUND(G99,10)&lt;= 800000),  ROUND(31000+ ABS(MROUND(G99,10)- 500000)*0.2,0),  IF(MROUND(G99,10)&gt; 800000,  ROUND(91000+ABS(MROUND(G99,10)- 800000)*0.3,0),0)))), IF(AND(B99="2011-2012", $U$22&lt;&gt;"Female"), IF(MROUND(G99,10)&lt;= 180000, 0, IF(AND(MROUND(G99,10)&gt; 180000, MROUND(G99,10)&lt;= 500000), ROUND(ABS(MROUND(G99,10)- 180000)*0.1,0), IF(AND(MROUND(G99,10)&gt; 500000, MROUND(G99,10)&lt;= 800000),  ROUND(32000+ ABS(MROUND(G99,10)- 500000)*0.2,0),  IF(MROUND(G99,10)&gt; 800000,  ROUND(92000+ABS(MROUND(G99,10)- 800000)*0.3,0),0)))), IF(OR(B99="2012-2013",B99="2013-2014"), IF(MROUND(G99,10)&lt;= 200000, 0, IF(AND(MROUND(G99,10)&gt; 200000, MROUND(G99,10)&lt;= 500000), ROUND(ABS(MROUND(G99,10)- 200000)*0.1,0), IF(AND(MROUND(G99,10)&gt; 500000, MROUND(G99,10)&lt;= 1000000),  ROUND(30000+ ABS(MROUND(G99,10)- 500000)*0.2,0),  IF(MROUND(G99,10)&gt; 1000000,  ROUND(130000+ABS(MROUND(G99,10)- 1000000)*0.3,0),0)))), IF(OR(B99="2014-2015", B99="2015-2016",B99="2016-2017"), IF(MROUND(G99,10)&lt;= 250000, 0, IF(AND(MROUND(G99,10)&gt; 250000, MROUND(G99,10)&lt;= 500000), ROUND(ABS(MROUND(G99,10)- 250000)*0.1,0), IF(AND(MROUND(G99,10)&gt; 500000, MROUND(G99,10)&lt;= 1000000),  ROUND(25000+ ABS(MROUND(G99,10)- 500000)*0.2,0),  IF(MROUND(G99,10)&gt; 1000000,  ROUND(125000+ABS(MROUND(G99,10)- 1000000)*0.3,0), 0)))), IF(OR(B99="2017-2018",B99="2018-2019",B99="2019-2020",AND(B99="2020-2021",'Basic Information'!$AG$22="No"),AND(B99="2021-2022",'Basic Information'!$AG$25="No"),AND(B99="2022-2023",'Basic Information'!$AG$28="No"),AND(B99="2023-2024",'Basic Information'!$AG$31="Yes")), IF(MROUND(G99,10)&lt;= 250000, 0, IF(AND(MROUND(G99,10)&gt; 250000, MROUND(G99,10)&lt;= 500000), ROUND(ABS(MROUND(G99,10)- 250000)*0.05,0), IF(AND(MROUND(G99,10)&gt; 500000, MROUND(G99,10)&lt;= 1000000),  ROUND(12500+ ABS(MROUND(G99,10)- 500000)*0.2,0),  IF(MROUND(G99,10)&gt; 1000000,  ROUND(112500+ABS(MROUND(G99,10)- 1000000)*0.3,0), 0)))),IF(OR(AND(B99="2020-2021",'Basic Information'!$AG$22="Yes"),AND(B99="2021-2022",'Basic Information'!$AG$25="Yes"),AND(B99="2022-2023",'Basic Information'!$AG$28="Yes")), IF(MROUND(G99,10)&lt;= 250000, 0, IF(AND(MROUND(G99,10)&gt; 250000, MROUND(G99,10)&lt;= 500000), ROUND(ABS(MROUND(G99,10)- 250000)*0.05,0), IF(AND(MROUND(G99,10)&gt; 500000, MROUND(G99,10)&lt;= 750000),  ROUND(12500+ ABS(MROUND(G99,10)- 500000)*0.1,0), IF(AND(MROUND(G99,10)&gt; 750000, MROUND(G99,10)&lt;= 1000000),  ROUND(37500+ ABS(MROUND(G99,10)- 750000)*0.15,0),IF(AND(MROUND(G99,10)&gt; 1000000, MROUND(G99,10)&lt;= 1250000),  ROUND(75000+ ABS(MROUND(G99,10)- 1000000)*0.2,0),IF(AND(MROUND(G99,10)&gt; 1250000, MROUND(G99,10)&lt;= 1500000),  ROUND(125000+ ABS(MROUND(G99,10)- 1250000)*0.25,0), IF(MROUND(G99,10)&gt; 1500000,  ROUND(187500+ABS(MROUND(G99,10)- 1500000)*0.3,0), 0))))))),IF(AND(B99="2023-2024",'Basic Information'!$AG$31="No"), IF(MROUND(G99,10)&lt;= 300000, 0, IF(AND(MROUND(G99,10)&gt; 300000, MROUND(G99,10)&lt;= 600000), ROUND(ABS(MROUND(G99,10)- 300000)*0.05,0), IF(AND(MROUND(G99,10)&gt; 600000, MROUND(G99,10)&lt;= 900000),  ROUND(15000+ ABS(MROUND(G99,10)- 600000)*0.1,0), IF(AND(MROUND(G99,10)&gt; 900000, MROUND(G99,10)&lt;= 1200000),  ROUND(45000+ ABS(MROUND(G99,10)- 900000)*0.15,0),IF(AND(MROUND(G99,10)&gt; 1200000, MROUND(G99,10)&lt;= 1500000),  ROUND(90000+ ABS(MROUND(G99,10)- 1200000)*0.2,0), IF(MROUND(G99,10)&gt; 1500000,  ROUND(150000+ABS(MROUND(G99,10)- 1500000)*0.3,0), 0)))))),0))))))))))))))))</f>
        <v>0</v>
      </c>
      <c r="AU99" s="6">
        <f>IF(OR(B99="2013-2014",B99="2014-2015",B99="2015-2016"),IF(AND(MROUND(G99,10)&lt;=500000,MROUND(G99,10)&lt;&gt;0),IF(AT99&lt;=2000, AT99,2000),0), IF(B99="2016-2017",IF(AND(MROUND(G99,10)&lt;=500000,MROUND(G99,10)&lt;&gt;0),IF(AT99&lt;=5000, AT99,5000),0), IF(OR(B99="2017-2018",B99="2018-2019"),IF(AND(MROUND(G99,10)&lt;=350000,MROUND(G99,10)&lt;&gt;0),IF(AT99&lt;=2500, AT99,2500),0), IF(OR(B99="2019-2020",B99="2020-2021",B99="2021-2022",B99="2022-2023",AND(B99="2023-2024",'Basic Information'!$AG$31="Yes")),IF(AND(MROUND(G99,10)&lt;=500000,MROUND(G99,10)&lt;&gt;0),IF(AT99&lt;=12500, AT99,12500),0), IF(OR(AND(B99="2023-2024",'Basic Information'!$AG$31="No")),IF(AND(MROUND(G99,10)&lt;=700000,MROUND(G99,10)&lt;&gt;0),IF(AT99&lt;=25000, AT99,25000),IF(AND(MROUND(G99,10)&lt;&gt;0,(MROUND(G99,10)-700000)&lt;=AT99),AT99-(MROUND(G99,10)-700000),0)),0)))))</f>
        <v>0</v>
      </c>
      <c r="AV99" s="6">
        <f t="shared" si="5"/>
        <v>0</v>
      </c>
      <c r="AW99" s="6">
        <f t="shared" si="6"/>
        <v>0</v>
      </c>
      <c r="AX99" s="6">
        <f>IF( AND(OR(B99="2005-2006",B99="2006-2007"),$U$22&lt;&gt;"Female"),IF( MROUND(S99,10)&lt;= 100000, 0, IF(AND(MROUND(S99,10)&gt; 100000,MROUND(S99,10)&lt;= 150000),  ROUND(ABS(MROUND(S99,10)- 100000)*0.1,0), IF(AND(MROUND(S99,10)&gt; 150000, MROUND(S99,10)&lt;= 250000), ROUND(5000+ ABS(MROUND(S99,10)- 150000)*0.2,0),IF(MROUND(S99,10)&gt; 250000,  ROUND(25000+ABS(MROUND(S99,10)- 250000)*0.3,0),  0)))),IF(AND(OR(B99="2005-2006",B99="2006-2007"),$U$22="Female"),IF(MROUND(S99,10)&lt;= 135000, 0, IF(AND(MROUND(S99,10)&gt; 135000, MROUND(S99,10)&lt;= 150000), ROUND(ABS(MROUND(S99,10)- 135000)*0.1,0), IF(AND(MROUND(S99,10)&gt; 150000, MROUND(S99,10)&lt;= 250000), ROUND(1500+ ABS(MROUND(S99,10)- 150000)*0.2,0),  IF(MROUND(S99,10)&gt; 250000, ROUND(21500+ABS(MROUND(S99,10)- 250000)*0.3,0),0)))),IF(AND(B99="2007-2008",$U$22&lt;&gt;"Female"), IF(MROUND(S99,10)&lt;= 110000,  0,  IF(AND(MROUND(S99,10)&gt; 110000, MROUND(S99,10)&lt;= 150000),     ROUND(ABS(MROUND(S99,10)- 110000)*0.1,0),  IF(AND(MROUND(S99,10)&gt; 150000, MROUND(S99,10)&lt;= 250000),  ROUND(4000+ ABS(MROUND(S99,10)- 150000)*0.2,0),   IF(MROUND(S99,10)&gt; 250000,   ROUND(24000+ABS(MROUND(S99,10)- 250000)*0.3,0),0)))),IF(AND(B99="2007-2008",$U$22="Female"), IF(MROUND(S99,10)&lt;= 145000, 0, IF(AND(MROUND(S99,10)&gt; 145000, MROUND(S99,10)&lt;= 150000),     ROUND(ABS(MROUND(S99,10)- 145000)*0.1,0),  IF(AND(MROUND(S99,10)&gt; 150000, MROUND(S99,10)&lt;= 250000),  ROUND(500+ ABS(MROUND(S99,10)- 150000)*0.2,0),  IF(MROUND(S99,10)&gt; 250000, ROUND(20500+ABS(MROUND(S99,10)- 250000)*0.3,0),0)))), IF(AND(B99="2008-2009",$U$22&lt;&gt;"Female"), IF(MROUND(S99,10)&lt;= 150000, 0, IF(AND(MROUND(S99,10)&gt; 150000, MROUND(S99,10)&lt;= 300000), ROUND(ABS(MROUND(S99,10)- 150000)*0.1,0), IF(AND(MROUND(S99,10)&gt; 300000, MROUND(S99,10)&lt;= 500000),  ROUND(15000+ ABS(MROUND(S99,10)- 300000)*0.2,0),  IF(MROUND(S99,10)&gt; 500000,  ROUND(55000+ABS(MROUND(S99,10)- 500000)*0.3,0),0)))), IF(AND(B99="2008-2009",$U$22="Female"), IF(MROUND(S99,10)&lt;= 180000, 0, IF(AND(MROUND(S99,10)&gt; 180000, MROUND(S99,10)&lt;= 300000), ROUND(ABS(MROUND(S99,10)- 180000)*0.1,0), IF(AND(MROUND(S99,10)&gt; 300000, MROUND(S99,10)&lt;= 500000), ROUND(12000+ ABS(MROUND(S99,10)- 300000)*0.2,0),  IF(MROUND(S99,10)&gt; 500000,  ROUND(52000+ABS(MROUND(S99,10)- 500000)*0.3,0),0)))), IF(AND(B99="2009-2010", $U$22&lt;&gt;"Female"), IF(MROUND(S99,10)&lt;= 160000, 0, IF(AND(MROUND(S99,10)&gt; 160000, MROUND(S99,10)&lt;= 300000),ROUND(ABS(MROUND(S99,10)- 160000)*0.1,0), IF(AND(MROUND(S99,10)&gt; 300000, MROUND(S99,10)&lt;= 500000),ROUND(14000+ ABS(MROUND(S99,10)- 300000)*0.2,0),  IF(MROUND(S99,10)&gt; 500000, ROUND(54000+ABS(MROUND(S99,10)- 500000)*0.3,0),0)))),IF(AND(B99="2009-2010",$U$22="Female"), IF(MROUND(S99,10)&lt;= 190000, 0, IF(AND(MROUND(S99,10)&gt; 190000, MROUND(S99,10)&lt;= 300000),ROUND(ABS(MROUND(S99,10)- 190000)*0.1,0), IF(AND(MROUND(S99,10)&gt; 300000, MROUND(S99,10)&lt;= 500000), ROUND(11000+ ABS(MROUND(S99,10)- 300000)*0.2,0),IF(MROUND(S99,10)&gt; 500000,  ROUND(51000+ABS(MROUND(S99,10)- 500000)*0.3,0),0)))), IF(AND(B99="2010-2011",$U$22&lt;&gt;"Female"), IF(MROUND(S99,10)&lt;= 160000, 0, IF(AND(MROUND(S99,10)&gt; 160000, MROUND(S99,10)&lt;= 500000), ROUND(ABS(MROUND(S99,10)- 160000)*0.1,0), IF(AND(MROUND(S99,10)&gt; 500000, MROUND(S99,10)&lt;= 800000), ROUND(34000+ ABS(MROUND(S99,10)- 500000)*0.2,0),  IF(MROUND(S99,10)&gt; 800000,  ROUND(94000+ABS(MROUND(S99,10)- 800000)*0.3,0),0)))), IF(AND(OR(B99="2010-2011",B99="2011-2012"),$U$22="Female"), IF(MROUND(S99,10)&lt;= 190000, 0, IF(AND(MROUND(S99,10)&gt; 190000, MROUND(S99,10)&lt;= 500000), ROUND(ABS(MROUND(S99,10)- 190000)*0.1,0), IF(AND(MROUND(S99,10)&gt; 500000, MROUND(S99,10)&lt;= 800000),  ROUND(31000+ ABS(MROUND(S99,10)- 500000)*0.2,0),  IF(MROUND(S99,10)&gt; 800000,  ROUND(91000+ABS(MROUND(S99,10)- 800000)*0.3,0),0)))), IF(AND(B99="2011-2012", $U$22&lt;&gt;"Female"), IF(MROUND(S99,10)&lt;= 180000, 0, IF(AND(MROUND(S99,10)&gt; 180000, MROUND(S99,10)&lt;= 500000), ROUND(ABS(MROUND(S99,10)- 180000)*0.1,0), IF(AND(MROUND(S99,10)&gt; 500000, MROUND(S99,10)&lt;= 800000),  ROUND(32000+ ABS(MROUND(S99,10)- 500000)*0.2,0),  IF(MROUND(S99,10)&gt; 800000,  ROUND(92000+ABS(MROUND(S99,10)- 800000)*0.3,0),0)))), IF(OR(B99="2012-2013",B99="2013-2014"), IF(MROUND(S99,10)&lt;= 200000, 0, IF(AND(MROUND(S99,10)&gt; 200000, MROUND(S99,10)&lt;= 500000), ROUND(ABS(MROUND(S99,10)- 200000)*0.1,0), IF(AND(MROUND(S99,10)&gt; 500000, MROUND(S99,10)&lt;= 1000000),  ROUND(30000+ ABS(MROUND(S99,10)- 500000)*0.2,0),  IF(MROUND(S99,10)&gt; 1000000,  ROUND(130000+ABS(MROUND(S99,10)- 1000000)*0.3,0),0)))), IF(OR(B99="2014-2015", B99="2015-2016",B99="2016-2017"), IF(MROUND(S99,10)&lt;= 250000, 0, IF(AND(MROUND(S99,10)&gt; 250000, MROUND(S99,10)&lt;= 500000), ROUND(ABS(MROUND(S99,10)- 250000)*0.1,0), IF(AND(MROUND(S99,10)&gt; 500000, MROUND(S99,10)&lt;= 1000000),  ROUND(25000+ ABS(MROUND(S99,10)- 500000)*0.2,0),  IF(MROUND(S99,10)&gt; 1000000,  ROUND(125000+ABS(MROUND(S99,10)- 1000000)*0.3,0), 0)))),IF(OR(B99="2017-2018",B99="2018-2019",B99="2019-2020",AND(B99="2020-2021",'Basic Information'!$AG$22="No"),AND(B99="2021-2022",'Basic Information'!$AG$25="No"),AND(B99="2022-2023",'Basic Information'!$AG$28="No"),AND(B99="2023-2024",'Basic Information'!$AG$31="Yes")), IF(MROUND(S99,10)&lt;= 250000, 0, IF(AND(MROUND(S99,10)&gt; 250000, MROUND(S99,10)&lt;= 500000), ROUND(ABS(MROUND(S99,10)- 250000)*0.05,0), IF(AND(MROUND(S99,10)&gt; 500000, MROUND(S99,10)&lt;= 1000000),  ROUND(12500+ ABS(MROUND(S99,10)- 500000)*0.2,0),  IF(MROUND(S99,10)&gt; 1000000,  ROUND(112500+ABS(MROUND(S99,10)- 1000000)*0.3,0), 0)))),IF(OR(AND(B99="2020-2021",'Basic Information'!$AG$22="Yes"),AND(B99="2021-2022",'Basic Information'!$AG$25="Yes"),AND(B99="2022-2023",'Basic Information'!$AG$28="Yes")), IF(MROUND(S99,10)&lt;= 250000, 0, IF(AND(MROUND(S99,10)&gt; 250000, MROUND(S99,10)&lt;= 500000), ROUND(ABS(MROUND(S99,10)- 250000)*0.05,0), IF(AND(MROUND(S99,10)&gt; 500000, MROUND(S99,10)&lt;= 750000),  ROUND(12500+ ABS(MROUND(S99,10)- 500000)*0.1,0), IF(AND(MROUND(S99,10)&gt; 750000, MROUND(S99,10)&lt;= 1000000),  ROUND(37500+ ABS(MROUND(S99,10)- 750000)*0.15,0),IF(AND(MROUND(S99,10)&gt; 1000000, MROUND(S99,10)&lt;= 1250000),  ROUND(75000+ ABS(MROUND(S99,10)- 1000000)*0.2,0),IF(AND(MROUND(S99,10)&gt; 1250000, MROUND(S99,10)&lt;= 1500000),  ROUND(125000+ ABS(MROUND(S99,10)- 1250000)*0.25,0), IF(MROUND(S99,10)&gt; 1500000,  ROUND(187500+ABS(MROUND(S99,10)- 1500000)*0.3,0), 0))))))),IF(AND(B99="2023-2024",'Basic Information'!$AG$31="No"), IF(MROUND(S99,10)&lt;= 300000, 0, IF(AND(MROUND(S99,10)&gt; 300000, MROUND(S99,10)&lt;= 600000), ROUND(ABS(MROUND(S99,10)- 300000)*0.05,0), IF(AND(MROUND(S99,10)&gt; 600000, MROUND(S99,10)&lt;= 900000),  ROUND(15000+ ABS(MROUND(S99,10)- 600000)*0.1,0), IF(AND(MROUND(S99,10)&gt; 900000, MROUND(S99,10)&lt;= 1200000),  ROUND(45000+ ABS(MROUND(S99,10)- 900000)*0.15,0),IF(AND(MROUND(S99,10)&gt; 1200000, MROUND(S99,10)&lt;= 1500000),  ROUND(90000+ ABS(MROUND(S99,10)- 1200000)*0.2,0), IF(MROUND(S99,10)&gt; 1500000,  ROUND(150000+ABS(MROUND(S99,10)- 1500000)*0.3,0), 0)))))),0))))))))))))))))</f>
        <v>0</v>
      </c>
      <c r="AY99" s="6">
        <f>IF(OR(B99="2013-2014",B99="2014-2015",B99="2015-2016"),IF(AND(MROUND(S99,10)&lt;=500000,MROUND(S99,10)&lt;&gt;0),IF(AX99&lt;=2000, AX99,2000),0), IF(B99="2016-2017",IF(AND(MROUND(S99,10)&lt;=500000,MROUND(S99,10)&lt;&gt;0),IF(AX99&lt;=5000, AX99,5000),0), IF(OR(B99="2017-2018",B99="2018-2019"),IF(AND(MROUND(S99,10)&lt;=350000,MROUND(S99,10)&lt;&gt;0),IF(AX99&lt;=2500, AX99,2500),0), IF(OR(B99="2019-2020",B99="2020-2021",B99="2021-2022",B99="2022-2023",AND(B99="2023-2024",'Basic Information'!$AG$31="Yes")),IF(AND(MROUND(S99,10)&lt;=500000,MROUND(S99,10)&lt;&gt;0),IF(AX99&lt;=12500, AX99,12500),0), IF(OR(AND(B99="2023-2024",'Basic Information'!$AG$31="No")),IF(AND(MROUND(S99,10)&lt;=700000,MROUND(S99,10)&lt;&gt;0),IF(AX99&lt;=25000, AX99,25000),IF(AND(MROUND(S99,10)&lt;&gt;0,(MROUND(S99,10)-700000)&lt;= AX99), AX99-(MROUND(S99,10)-700000),0)),0)))))</f>
        <v>0</v>
      </c>
      <c r="AZ99" s="6">
        <f t="shared" si="7"/>
        <v>0</v>
      </c>
      <c r="BA99" s="6">
        <f t="shared" si="8"/>
        <v>0</v>
      </c>
    </row>
    <row r="100" spans="2:53" x14ac:dyDescent="0.3">
      <c r="B100" s="342"/>
      <c r="C100" s="343"/>
      <c r="D100" s="343"/>
      <c r="E100" s="343"/>
      <c r="F100" s="344"/>
      <c r="G100" s="345"/>
      <c r="H100" s="346"/>
      <c r="I100" s="346"/>
      <c r="J100" s="346"/>
      <c r="K100" s="346"/>
      <c r="L100" s="347"/>
      <c r="M100" s="345"/>
      <c r="N100" s="346"/>
      <c r="O100" s="346"/>
      <c r="P100" s="346"/>
      <c r="Q100" s="346"/>
      <c r="R100" s="347"/>
      <c r="S100" s="335">
        <f t="shared" si="1"/>
        <v>0</v>
      </c>
      <c r="T100" s="336"/>
      <c r="U100" s="336"/>
      <c r="V100" s="336"/>
      <c r="W100" s="336"/>
      <c r="X100" s="337"/>
      <c r="Y100" s="335">
        <f t="shared" si="2"/>
        <v>0</v>
      </c>
      <c r="Z100" s="336"/>
      <c r="AA100" s="336"/>
      <c r="AB100" s="336"/>
      <c r="AC100" s="336"/>
      <c r="AD100" s="337"/>
      <c r="AE100" s="335">
        <f t="shared" si="3"/>
        <v>0</v>
      </c>
      <c r="AF100" s="336"/>
      <c r="AG100" s="336"/>
      <c r="AH100" s="336"/>
      <c r="AI100" s="336"/>
      <c r="AJ100" s="338"/>
      <c r="AK100" s="339">
        <f t="shared" si="4"/>
        <v>0</v>
      </c>
      <c r="AL100" s="340"/>
      <c r="AM100" s="340"/>
      <c r="AN100" s="340"/>
      <c r="AO100" s="340"/>
      <c r="AP100" s="341"/>
      <c r="AQ100" s="38" t="str">
        <f t="shared" si="9"/>
        <v/>
      </c>
      <c r="AT100" s="6">
        <f>IF( AND(OR(B100="2005-2006",B100="2006-2007"),$U$22&lt;&gt;"Female"),IF( MROUND(G100,10)&lt;= 100000, 0, IF(AND(MROUND(G100,10)&gt; 100000,MROUND(G100,10)&lt;= 150000),  ROUND(ABS(MROUND(G100,10)- 100000)*0.1,0), IF(AND(MROUND(G100,10)&gt; 150000, MROUND(G100,10)&lt;= 250000), ROUND(5000+ ABS(MROUND(G100,10)- 150000)*0.2,0),IF(MROUND(G100,10)&gt; 250000,  ROUND(25000+ABS(MROUND(G100,10)- 250000)*0.3,0),  0)))),IF(AND(OR(B100="2005-2006",B100="2006-2007"),$U$22="Female"),IF(MROUND(G100,10)&lt;= 135000, 0, IF(AND(MROUND(G100,10)&gt; 135000, MROUND(G100,10)&lt;= 150000), ROUND(ABS(MROUND(G100,10)- 135000)*0.1,0), IF(AND(MROUND(G100,10)&gt; 150000, MROUND(G100,10)&lt;= 250000), ROUND(1500+ ABS(MROUND(G100,10)- 150000)*0.2,0),  IF(MROUND(G100,10)&gt; 250000, ROUND(21500+ABS(MROUND(G100,10)- 250000)*0.3,0),0)))),IF(AND(B100="2007-2008",$U$22&lt;&gt;"Female"), IF(MROUND(G100,10)&lt;= 110000,  0,  IF(AND(MROUND(G100,10)&gt; 110000, MROUND(G100,10)&lt;= 150000), ROUND(ABS(MROUND(G100,10)- 110000)*0.1,0),  IF(AND(MROUND(G100,10)&gt; 150000, MROUND(G100,10)&lt;= 250000),  ROUND(4000+ ABS(MROUND(G100,10)- 150000)*0.2,0),   IF(MROUND(G100,10)&gt; 250000,   ROUND(24000+ABS(MROUND(G100,10)- 250000)*0.3,0),0)))),IF(AND(B100="2007-2008",$U$22="Female"), IF(MROUND(G100,10)&lt;= 145000, 0, IF(AND(MROUND(G100,10)&gt; 145000, MROUND(G100,10)&lt;= 150000),     ROUND(ABS(MROUND(G100,10)- 145000)*0.1,0),  IF(AND(MROUND(G100,10)&gt; 150000, MROUND(G100,10)&lt;= 250000),  ROUND(500+ ABS(MROUND(G100,10)- 150000)*0.2,0),  IF(MROUND(G100,10)&gt; 250000, ROUND(20500+ABS(MROUND(G100,10)- 250000)*0.3,0),0)))), IF(AND(B100="2008-2009",$U$22&lt;&gt;"Female"), IF(MROUND(G100,10)&lt;= 150000, 0, IF(AND(MROUND(G100,10)&gt; 150000, MROUND(G100,10)&lt;= 300000), ROUND(ABS(MROUND(G100,10)- 150000)*0.1,0), IF(AND(MROUND(G100,10)&gt; 300000, MROUND(G100,10)&lt;= 500000),  ROUND(15000+ ABS(MROUND(G100,10)- 300000)*0.2,0),  IF(MROUND(G100,10)&gt; 500000,  ROUND(55000+ABS(MROUND(G100,10)- 500000)*0.3,0),0)))), IF(AND(B100="2008-2009",$U$22="Female"), IF(MROUND(G100,10)&lt;= 180000, 0, IF(AND(MROUND(G100,10)&gt; 180000, MROUND(G100,10)&lt;= 300000), ROUND(ABS(MROUND(G100,10)- 180000)*0.1,0), IF(AND(MROUND(G100,10)&gt; 300000, MROUND(G100,10)&lt;= 500000), ROUND(12000+ ABS(MROUND(G100,10)- 300000)*0.2,0),  IF(MROUND(G100,10)&gt; 500000,  ROUND(52000+ABS(MROUND(G100,10)- 500000)*0.3,0),0)))), IF(AND(B100="2009-2010", $U$22&lt;&gt;"Female"), IF(MROUND(G100,10)&lt;= 160000, 0, IF(AND(MROUND(G100,10)&gt; 160000, MROUND(G100,10)&lt;= 300000),ROUND(ABS(MROUND(G100,10)- 160000)*0.1,0), IF(AND(MROUND(G100,10)&gt; 300000, MROUND(G100,10)&lt;= 500000),ROUND(14000+ ABS(MROUND(G100,10)- 300000)*0.2,0),  IF(MROUND(G100,10)&gt; 500000, ROUND(54000+ABS(MROUND(G100,10)- 500000)*0.3,0),0)))),IF(AND(B100="2009-2010",$U$22="Female"), IF(MROUND(G100,10)&lt;= 190000, 0, IF(AND(MROUND(G100,10)&gt; 190000, MROUND(G100,10)&lt;= 300000),ROUND(ABS(MROUND(G100,10)- 190000)*0.1,0), IF(AND(MROUND(G100,10)&gt; 300000, MROUND(G100,10)&lt;= 500000), ROUND(11000+ ABS(MROUND(G100,10)- 300000)*0.2,0),IF(MROUND(G100,10)&gt; 500000,  ROUND(51000+ABS(MROUND(G100,10)- 500000)*0.3,0),0)))), IF(AND(B100="2010-2011",$U$22&lt;&gt;"Female"), IF(MROUND(G100,10)&lt;= 160000, 0, IF(AND(MROUND(G100,10)&gt; 160000, MROUND(G100,10)&lt;= 500000), ROUND(ABS(MROUND(G100,10)- 160000)*0.1,0), IF(AND(MROUND(G100,10)&gt; 500000, MROUND(G100,10)&lt;= 800000), ROUND(34000+ ABS(MROUND(G100,10)- 500000)*0.2,0),  IF(MROUND(G100,10)&gt; 800000,  ROUND(94000+ABS(MROUND(G100,10)- 800000)*0.3,0),0)))), IF(AND(OR(B100="2010-2011",B100="2011-2012"),$U$22="Female"), IF(MROUND(G100,10)&lt;= 190000, 0, IF(AND(MROUND(G100,10)&gt; 190000, MROUND(G100,10)&lt;= 500000), ROUND(ABS(MROUND(G100,10)- 190000)*0.1,0), IF(AND(MROUND(G100,10)&gt; 500000, MROUND(G100,10)&lt;= 800000),  ROUND(31000+ ABS(MROUND(G100,10)- 500000)*0.2,0),  IF(MROUND(G100,10)&gt; 800000,  ROUND(91000+ABS(MROUND(G100,10)- 800000)*0.3,0),0)))), IF(AND(B100="2011-2012", $U$22&lt;&gt;"Female"), IF(MROUND(G100,10)&lt;= 180000, 0, IF(AND(MROUND(G100,10)&gt; 180000, MROUND(G100,10)&lt;= 500000), ROUND(ABS(MROUND(G100,10)- 180000)*0.1,0), IF(AND(MROUND(G100,10)&gt; 500000, MROUND(G100,10)&lt;= 800000),  ROUND(32000+ ABS(MROUND(G100,10)- 500000)*0.2,0),  IF(MROUND(G100,10)&gt; 800000,  ROUND(92000+ABS(MROUND(G100,10)- 800000)*0.3,0),0)))), IF(OR(B100="2012-2013",B100="2013-2014"), IF(MROUND(G100,10)&lt;= 200000, 0, IF(AND(MROUND(G100,10)&gt; 200000, MROUND(G100,10)&lt;= 500000), ROUND(ABS(MROUND(G100,10)- 200000)*0.1,0), IF(AND(MROUND(G100,10)&gt; 500000, MROUND(G100,10)&lt;= 1000000),  ROUND(30000+ ABS(MROUND(G100,10)- 500000)*0.2,0),  IF(MROUND(G100,10)&gt; 1000000,  ROUND(130000+ABS(MROUND(G100,10)- 1000000)*0.3,0),0)))), IF(OR(B100="2014-2015", B100="2015-2016",B100="2016-2017"), IF(MROUND(G100,10)&lt;= 250000, 0, IF(AND(MROUND(G100,10)&gt; 250000, MROUND(G100,10)&lt;= 500000), ROUND(ABS(MROUND(G100,10)- 250000)*0.1,0), IF(AND(MROUND(G100,10)&gt; 500000, MROUND(G100,10)&lt;= 1000000),  ROUND(25000+ ABS(MROUND(G100,10)- 500000)*0.2,0),  IF(MROUND(G100,10)&gt; 1000000,  ROUND(125000+ABS(MROUND(G100,10)- 1000000)*0.3,0), 0)))), IF(OR(B100="2017-2018",B100="2018-2019",B100="2019-2020",AND(B100="2020-2021",'Basic Information'!$AG$22="No"),AND(B100="2021-2022",'Basic Information'!$AG$25="No"),AND(B100="2022-2023",'Basic Information'!$AG$28="No"),AND(B100="2023-2024",'Basic Information'!$AG$31="Yes")), IF(MROUND(G100,10)&lt;= 250000, 0, IF(AND(MROUND(G100,10)&gt; 250000, MROUND(G100,10)&lt;= 500000), ROUND(ABS(MROUND(G100,10)- 250000)*0.05,0), IF(AND(MROUND(G100,10)&gt; 500000, MROUND(G100,10)&lt;= 1000000),  ROUND(12500+ ABS(MROUND(G100,10)- 500000)*0.2,0),  IF(MROUND(G100,10)&gt; 1000000,  ROUND(112500+ABS(MROUND(G100,10)- 1000000)*0.3,0), 0)))),IF(OR(AND(B100="2020-2021",'Basic Information'!$AG$22="Yes"),AND(B100="2021-2022",'Basic Information'!$AG$25="Yes"),AND(B100="2022-2023",'Basic Information'!$AG$28="Yes")), IF(MROUND(G100,10)&lt;= 250000, 0, IF(AND(MROUND(G100,10)&gt; 250000, MROUND(G100,10)&lt;= 500000), ROUND(ABS(MROUND(G100,10)- 250000)*0.05,0), IF(AND(MROUND(G100,10)&gt; 500000, MROUND(G100,10)&lt;= 750000),  ROUND(12500+ ABS(MROUND(G100,10)- 500000)*0.1,0), IF(AND(MROUND(G100,10)&gt; 750000, MROUND(G100,10)&lt;= 1000000),  ROUND(37500+ ABS(MROUND(G100,10)- 750000)*0.15,0),IF(AND(MROUND(G100,10)&gt; 1000000, MROUND(G100,10)&lt;= 1250000),  ROUND(75000+ ABS(MROUND(G100,10)- 1000000)*0.2,0),IF(AND(MROUND(G100,10)&gt; 1250000, MROUND(G100,10)&lt;= 1500000),  ROUND(125000+ ABS(MROUND(G100,10)- 1250000)*0.25,0), IF(MROUND(G100,10)&gt; 1500000,  ROUND(187500+ABS(MROUND(G100,10)- 1500000)*0.3,0), 0))))))),IF(AND(B100="2023-2024",'Basic Information'!$AG$31="No"), IF(MROUND(G100,10)&lt;= 300000, 0, IF(AND(MROUND(G100,10)&gt; 300000, MROUND(G100,10)&lt;= 600000), ROUND(ABS(MROUND(G100,10)- 300000)*0.05,0), IF(AND(MROUND(G100,10)&gt; 600000, MROUND(G100,10)&lt;= 900000),  ROUND(15000+ ABS(MROUND(G100,10)- 600000)*0.1,0), IF(AND(MROUND(G100,10)&gt; 900000, MROUND(G100,10)&lt;= 1200000),  ROUND(45000+ ABS(MROUND(G100,10)- 900000)*0.15,0),IF(AND(MROUND(G100,10)&gt; 1200000, MROUND(G100,10)&lt;= 1500000),  ROUND(90000+ ABS(MROUND(G100,10)- 1200000)*0.2,0), IF(MROUND(G100,10)&gt; 1500000,  ROUND(150000+ABS(MROUND(G100,10)- 1500000)*0.3,0), 0)))))),0))))))))))))))))</f>
        <v>0</v>
      </c>
      <c r="AU100" s="6">
        <f>IF(OR(B100="2013-2014",B100="2014-2015",B100="2015-2016"),IF(AND(MROUND(G100,10)&lt;=500000,MROUND(G100,10)&lt;&gt;0),IF(AT100&lt;=2000, AT100,2000),0), IF(B100="2016-2017",IF(AND(MROUND(G100,10)&lt;=500000,MROUND(G100,10)&lt;&gt;0),IF(AT100&lt;=5000, AT100,5000),0), IF(OR(B100="2017-2018",B100="2018-2019"),IF(AND(MROUND(G100,10)&lt;=350000,MROUND(G100,10)&lt;&gt;0),IF(AT100&lt;=2500, AT100,2500),0), IF(OR(B100="2019-2020",B100="2020-2021",B100="2021-2022",B100="2022-2023",AND(B100="2023-2024",'Basic Information'!$AG$31="Yes")),IF(AND(MROUND(G100,10)&lt;=500000,MROUND(G100,10)&lt;&gt;0),IF(AT100&lt;=12500, AT100,12500),0), IF(OR(AND(B100="2023-2024",'Basic Information'!$AG$31="No")),IF(AND(MROUND(G100,10)&lt;=700000,MROUND(G100,10)&lt;&gt;0),IF(AT100&lt;=25000, AT100,25000),IF(AND(MROUND(G100,10)&lt;&gt;0,(MROUND(G100,10)-700000)&lt;=AT100),AT100-(MROUND(G100,10)-700000),0)),0)))))</f>
        <v>0</v>
      </c>
      <c r="AV100" s="6">
        <f t="shared" si="5"/>
        <v>0</v>
      </c>
      <c r="AW100" s="6">
        <f t="shared" si="6"/>
        <v>0</v>
      </c>
      <c r="AX100" s="6">
        <f>IF( AND(OR(B100="2005-2006",B100="2006-2007"),$U$22&lt;&gt;"Female"),IF( MROUND(S100,10)&lt;= 100000, 0, IF(AND(MROUND(S100,10)&gt; 100000,MROUND(S100,10)&lt;= 150000),  ROUND(ABS(MROUND(S100,10)- 100000)*0.1,0), IF(AND(MROUND(S100,10)&gt; 150000, MROUND(S100,10)&lt;= 250000), ROUND(5000+ ABS(MROUND(S100,10)- 150000)*0.2,0),IF(MROUND(S100,10)&gt; 250000,  ROUND(25000+ABS(MROUND(S100,10)- 250000)*0.3,0),  0)))),IF(AND(OR(B100="2005-2006",B100="2006-2007"),$U$22="Female"),IF(MROUND(S100,10)&lt;= 135000, 0, IF(AND(MROUND(S100,10)&gt; 135000, MROUND(S100,10)&lt;= 150000), ROUND(ABS(MROUND(S100,10)- 135000)*0.1,0), IF(AND(MROUND(S100,10)&gt; 150000, MROUND(S100,10)&lt;= 250000), ROUND(1500+ ABS(MROUND(S100,10)- 150000)*0.2,0),  IF(MROUND(S100,10)&gt; 250000, ROUND(21500+ABS(MROUND(S100,10)- 250000)*0.3,0),0)))),IF(AND(B100="2007-2008",$U$22&lt;&gt;"Female"), IF(MROUND(S100,10)&lt;= 110000,  0,  IF(AND(MROUND(S100,10)&gt; 110000, MROUND(S100,10)&lt;= 150000),     ROUND(ABS(MROUND(S100,10)- 110000)*0.1,0),  IF(AND(MROUND(S100,10)&gt; 150000, MROUND(S100,10)&lt;= 250000),  ROUND(4000+ ABS(MROUND(S100,10)- 150000)*0.2,0),   IF(MROUND(S100,10)&gt; 250000,   ROUND(24000+ABS(MROUND(S100,10)- 250000)*0.3,0),0)))),IF(AND(B100="2007-2008",$U$22="Female"), IF(MROUND(S100,10)&lt;= 145000, 0, IF(AND(MROUND(S100,10)&gt; 145000, MROUND(S100,10)&lt;= 150000),     ROUND(ABS(MROUND(S100,10)- 145000)*0.1,0),  IF(AND(MROUND(S100,10)&gt; 150000, MROUND(S100,10)&lt;= 250000),  ROUND(500+ ABS(MROUND(S100,10)- 150000)*0.2,0),  IF(MROUND(S100,10)&gt; 250000, ROUND(20500+ABS(MROUND(S100,10)- 250000)*0.3,0),0)))), IF(AND(B100="2008-2009",$U$22&lt;&gt;"Female"), IF(MROUND(S100,10)&lt;= 150000, 0, IF(AND(MROUND(S100,10)&gt; 150000, MROUND(S100,10)&lt;= 300000), ROUND(ABS(MROUND(S100,10)- 150000)*0.1,0), IF(AND(MROUND(S100,10)&gt; 300000, MROUND(S100,10)&lt;= 500000),  ROUND(15000+ ABS(MROUND(S100,10)- 300000)*0.2,0),  IF(MROUND(S100,10)&gt; 500000,  ROUND(55000+ABS(MROUND(S100,10)- 500000)*0.3,0),0)))), IF(AND(B100="2008-2009",$U$22="Female"), IF(MROUND(S100,10)&lt;= 180000, 0, IF(AND(MROUND(S100,10)&gt; 180000, MROUND(S100,10)&lt;= 300000), ROUND(ABS(MROUND(S100,10)- 180000)*0.1,0), IF(AND(MROUND(S100,10)&gt; 300000, MROUND(S100,10)&lt;= 500000), ROUND(12000+ ABS(MROUND(S100,10)- 300000)*0.2,0),  IF(MROUND(S100,10)&gt; 500000,  ROUND(52000+ABS(MROUND(S100,10)- 500000)*0.3,0),0)))), IF(AND(B100="2009-2010", $U$22&lt;&gt;"Female"), IF(MROUND(S100,10)&lt;= 160000, 0, IF(AND(MROUND(S100,10)&gt; 160000, MROUND(S100,10)&lt;= 300000),ROUND(ABS(MROUND(S100,10)- 160000)*0.1,0), IF(AND(MROUND(S100,10)&gt; 300000, MROUND(S100,10)&lt;= 500000),ROUND(14000+ ABS(MROUND(S100,10)- 300000)*0.2,0),  IF(MROUND(S100,10)&gt; 500000, ROUND(54000+ABS(MROUND(S100,10)- 500000)*0.3,0),0)))),IF(AND(B100="2009-2010",$U$22="Female"), IF(MROUND(S100,10)&lt;= 190000, 0, IF(AND(MROUND(S100,10)&gt; 190000, MROUND(S100,10)&lt;= 300000),ROUND(ABS(MROUND(S100,10)- 190000)*0.1,0), IF(AND(MROUND(S100,10)&gt; 300000, MROUND(S100,10)&lt;= 500000), ROUND(11000+ ABS(MROUND(S100,10)- 300000)*0.2,0),IF(MROUND(S100,10)&gt; 500000,  ROUND(51000+ABS(MROUND(S100,10)- 500000)*0.3,0),0)))), IF(AND(B100="2010-2011",$U$22&lt;&gt;"Female"), IF(MROUND(S100,10)&lt;= 160000, 0, IF(AND(MROUND(S100,10)&gt; 160000, MROUND(S100,10)&lt;= 500000), ROUND(ABS(MROUND(S100,10)- 160000)*0.1,0), IF(AND(MROUND(S100,10)&gt; 500000, MROUND(S100,10)&lt;= 800000), ROUND(34000+ ABS(MROUND(S100,10)- 500000)*0.2,0),  IF(MROUND(S100,10)&gt; 800000,  ROUND(94000+ABS(MROUND(S100,10)- 800000)*0.3,0),0)))), IF(AND(OR(B100="2010-2011",B100="2011-2012"),$U$22="Female"), IF(MROUND(S100,10)&lt;= 190000, 0, IF(AND(MROUND(S100,10)&gt; 190000, MROUND(S100,10)&lt;= 500000), ROUND(ABS(MROUND(S100,10)- 190000)*0.1,0), IF(AND(MROUND(S100,10)&gt; 500000, MROUND(S100,10)&lt;= 800000),  ROUND(31000+ ABS(MROUND(S100,10)- 500000)*0.2,0),  IF(MROUND(S100,10)&gt; 800000,  ROUND(91000+ABS(MROUND(S100,10)- 800000)*0.3,0),0)))), IF(AND(B100="2011-2012", $U$22&lt;&gt;"Female"), IF(MROUND(S100,10)&lt;= 180000, 0, IF(AND(MROUND(S100,10)&gt; 180000, MROUND(S100,10)&lt;= 500000), ROUND(ABS(MROUND(S100,10)- 180000)*0.1,0), IF(AND(MROUND(S100,10)&gt; 500000, MROUND(S100,10)&lt;= 800000),  ROUND(32000+ ABS(MROUND(S100,10)- 500000)*0.2,0),  IF(MROUND(S100,10)&gt; 800000,  ROUND(92000+ABS(MROUND(S100,10)- 800000)*0.3,0),0)))), IF(OR(B100="2012-2013",B100="2013-2014"), IF(MROUND(S100,10)&lt;= 200000, 0, IF(AND(MROUND(S100,10)&gt; 200000, MROUND(S100,10)&lt;= 500000), ROUND(ABS(MROUND(S100,10)- 200000)*0.1,0), IF(AND(MROUND(S100,10)&gt; 500000, MROUND(S100,10)&lt;= 1000000),  ROUND(30000+ ABS(MROUND(S100,10)- 500000)*0.2,0),  IF(MROUND(S100,10)&gt; 1000000,  ROUND(130000+ABS(MROUND(S100,10)- 1000000)*0.3,0),0)))), IF(OR(B100="2014-2015", B100="2015-2016",B100="2016-2017"), IF(MROUND(S100,10)&lt;= 250000, 0, IF(AND(MROUND(S100,10)&gt; 250000, MROUND(S100,10)&lt;= 500000), ROUND(ABS(MROUND(S100,10)- 250000)*0.1,0), IF(AND(MROUND(S100,10)&gt; 500000, MROUND(S100,10)&lt;= 1000000),  ROUND(25000+ ABS(MROUND(S100,10)- 500000)*0.2,0),  IF(MROUND(S100,10)&gt; 1000000,  ROUND(125000+ABS(MROUND(S100,10)- 1000000)*0.3,0), 0)))),IF(OR(B100="2017-2018",B100="2018-2019",B100="2019-2020",AND(B100="2020-2021",'Basic Information'!$AG$22="No"),AND(B100="2021-2022",'Basic Information'!$AG$25="No"),AND(B100="2022-2023",'Basic Information'!$AG$28="No"),AND(B100="2023-2024",'Basic Information'!$AG$31="Yes")), IF(MROUND(S100,10)&lt;= 250000, 0, IF(AND(MROUND(S100,10)&gt; 250000, MROUND(S100,10)&lt;= 500000), ROUND(ABS(MROUND(S100,10)- 250000)*0.05,0), IF(AND(MROUND(S100,10)&gt; 500000, MROUND(S100,10)&lt;= 1000000),  ROUND(12500+ ABS(MROUND(S100,10)- 500000)*0.2,0),  IF(MROUND(S100,10)&gt; 1000000,  ROUND(112500+ABS(MROUND(S100,10)- 1000000)*0.3,0), 0)))),IF(OR(AND(B100="2020-2021",'Basic Information'!$AG$22="Yes"),AND(B100="2021-2022",'Basic Information'!$AG$25="Yes"),AND(B100="2022-2023",'Basic Information'!$AG$28="Yes")), IF(MROUND(S100,10)&lt;= 250000, 0, IF(AND(MROUND(S100,10)&gt; 250000, MROUND(S100,10)&lt;= 500000), ROUND(ABS(MROUND(S100,10)- 250000)*0.05,0), IF(AND(MROUND(S100,10)&gt; 500000, MROUND(S100,10)&lt;= 750000),  ROUND(12500+ ABS(MROUND(S100,10)- 500000)*0.1,0), IF(AND(MROUND(S100,10)&gt; 750000, MROUND(S100,10)&lt;= 1000000),  ROUND(37500+ ABS(MROUND(S100,10)- 750000)*0.15,0),IF(AND(MROUND(S100,10)&gt; 1000000, MROUND(S100,10)&lt;= 1250000),  ROUND(75000+ ABS(MROUND(S100,10)- 1000000)*0.2,0),IF(AND(MROUND(S100,10)&gt; 1250000, MROUND(S100,10)&lt;= 1500000),  ROUND(125000+ ABS(MROUND(S100,10)- 1250000)*0.25,0), IF(MROUND(S100,10)&gt; 1500000,  ROUND(187500+ABS(MROUND(S100,10)- 1500000)*0.3,0), 0))))))),IF(AND(B100="2023-2024",'Basic Information'!$AG$31="No"), IF(MROUND(S100,10)&lt;= 300000, 0, IF(AND(MROUND(S100,10)&gt; 300000, MROUND(S100,10)&lt;= 600000), ROUND(ABS(MROUND(S100,10)- 300000)*0.05,0), IF(AND(MROUND(S100,10)&gt; 600000, MROUND(S100,10)&lt;= 900000),  ROUND(15000+ ABS(MROUND(S100,10)- 600000)*0.1,0), IF(AND(MROUND(S100,10)&gt; 900000, MROUND(S100,10)&lt;= 1200000),  ROUND(45000+ ABS(MROUND(S100,10)- 900000)*0.15,0),IF(AND(MROUND(S100,10)&gt; 1200000, MROUND(S100,10)&lt;= 1500000),  ROUND(90000+ ABS(MROUND(S100,10)- 1200000)*0.2,0), IF(MROUND(S100,10)&gt; 1500000,  ROUND(150000+ABS(MROUND(S100,10)- 1500000)*0.3,0), 0)))))),0))))))))))))))))</f>
        <v>0</v>
      </c>
      <c r="AY100" s="6">
        <f>IF(OR(B100="2013-2014",B100="2014-2015",B100="2015-2016"),IF(AND(MROUND(S100,10)&lt;=500000,MROUND(S100,10)&lt;&gt;0),IF(AX100&lt;=2000, AX100,2000),0), IF(B100="2016-2017",IF(AND(MROUND(S100,10)&lt;=500000,MROUND(S100,10)&lt;&gt;0),IF(AX100&lt;=5000, AX100,5000),0), IF(OR(B100="2017-2018",B100="2018-2019"),IF(AND(MROUND(S100,10)&lt;=350000,MROUND(S100,10)&lt;&gt;0),IF(AX100&lt;=2500, AX100,2500),0), IF(OR(B100="2019-2020",B100="2020-2021",B100="2021-2022",B100="2022-2023",AND(B100="2023-2024",'Basic Information'!$AG$31="Yes")),IF(AND(MROUND(S100,10)&lt;=500000,MROUND(S100,10)&lt;&gt;0),IF(AX100&lt;=12500, AX100,12500),0), IF(OR(AND(B100="2023-2024",'Basic Information'!$AG$31="No")),IF(AND(MROUND(S100,10)&lt;=700000,MROUND(S100,10)&lt;&gt;0),IF(AX100&lt;=25000, AX100,25000),IF(AND(MROUND(S100,10)&lt;&gt;0,(MROUND(S100,10)-700000)&lt;= AX100), AX100-(MROUND(S100,10)-700000),0)),0)))))</f>
        <v>0</v>
      </c>
      <c r="AZ100" s="6">
        <f t="shared" si="7"/>
        <v>0</v>
      </c>
      <c r="BA100" s="6">
        <f t="shared" si="8"/>
        <v>0</v>
      </c>
    </row>
    <row r="101" spans="2:53" x14ac:dyDescent="0.3">
      <c r="B101" s="342"/>
      <c r="C101" s="343"/>
      <c r="D101" s="343"/>
      <c r="E101" s="343"/>
      <c r="F101" s="344"/>
      <c r="G101" s="345"/>
      <c r="H101" s="346"/>
      <c r="I101" s="346"/>
      <c r="J101" s="346"/>
      <c r="K101" s="346"/>
      <c r="L101" s="347"/>
      <c r="M101" s="345"/>
      <c r="N101" s="346"/>
      <c r="O101" s="346"/>
      <c r="P101" s="346"/>
      <c r="Q101" s="346"/>
      <c r="R101" s="347"/>
      <c r="S101" s="335">
        <f t="shared" si="1"/>
        <v>0</v>
      </c>
      <c r="T101" s="336"/>
      <c r="U101" s="336"/>
      <c r="V101" s="336"/>
      <c r="W101" s="336"/>
      <c r="X101" s="337"/>
      <c r="Y101" s="335">
        <f t="shared" si="2"/>
        <v>0</v>
      </c>
      <c r="Z101" s="336"/>
      <c r="AA101" s="336"/>
      <c r="AB101" s="336"/>
      <c r="AC101" s="336"/>
      <c r="AD101" s="337"/>
      <c r="AE101" s="335">
        <f t="shared" si="3"/>
        <v>0</v>
      </c>
      <c r="AF101" s="336"/>
      <c r="AG101" s="336"/>
      <c r="AH101" s="336"/>
      <c r="AI101" s="336"/>
      <c r="AJ101" s="338"/>
      <c r="AK101" s="339">
        <f t="shared" si="4"/>
        <v>0</v>
      </c>
      <c r="AL101" s="340"/>
      <c r="AM101" s="340"/>
      <c r="AN101" s="340"/>
      <c r="AO101" s="340"/>
      <c r="AP101" s="341"/>
      <c r="AQ101" s="38" t="str">
        <f t="shared" si="9"/>
        <v/>
      </c>
      <c r="AT101" s="6">
        <f>IF( AND(OR(B101="2005-2006",B101="2006-2007"),$U$22&lt;&gt;"Female"),IF( MROUND(G101,10)&lt;= 100000, 0, IF(AND(MROUND(G101,10)&gt; 100000,MROUND(G101,10)&lt;= 150000),  ROUND(ABS(MROUND(G101,10)- 100000)*0.1,0), IF(AND(MROUND(G101,10)&gt; 150000, MROUND(G101,10)&lt;= 250000), ROUND(5000+ ABS(MROUND(G101,10)- 150000)*0.2,0),IF(MROUND(G101,10)&gt; 250000,  ROUND(25000+ABS(MROUND(G101,10)- 250000)*0.3,0),  0)))),IF(AND(OR(B101="2005-2006",B101="2006-2007"),$U$22="Female"),IF(MROUND(G101,10)&lt;= 135000, 0, IF(AND(MROUND(G101,10)&gt; 135000, MROUND(G101,10)&lt;= 150000), ROUND(ABS(MROUND(G101,10)- 135000)*0.1,0), IF(AND(MROUND(G101,10)&gt; 150000, MROUND(G101,10)&lt;= 250000), ROUND(1500+ ABS(MROUND(G101,10)- 150000)*0.2,0),  IF(MROUND(G101,10)&gt; 250000, ROUND(21500+ABS(MROUND(G101,10)- 250000)*0.3,0),0)))),IF(AND(B101="2007-2008",$U$22&lt;&gt;"Female"), IF(MROUND(G101,10)&lt;= 110000,  0,  IF(AND(MROUND(G101,10)&gt; 110000, MROUND(G101,10)&lt;= 150000), ROUND(ABS(MROUND(G101,10)- 110000)*0.1,0),  IF(AND(MROUND(G101,10)&gt; 150000, MROUND(G101,10)&lt;= 250000),  ROUND(4000+ ABS(MROUND(G101,10)- 150000)*0.2,0),   IF(MROUND(G101,10)&gt; 250000,   ROUND(24000+ABS(MROUND(G101,10)- 250000)*0.3,0),0)))),IF(AND(B101="2007-2008",$U$22="Female"), IF(MROUND(G101,10)&lt;= 145000, 0, IF(AND(MROUND(G101,10)&gt; 145000, MROUND(G101,10)&lt;= 150000),     ROUND(ABS(MROUND(G101,10)- 145000)*0.1,0),  IF(AND(MROUND(G101,10)&gt; 150000, MROUND(G101,10)&lt;= 250000),  ROUND(500+ ABS(MROUND(G101,10)- 150000)*0.2,0),  IF(MROUND(G101,10)&gt; 250000, ROUND(20500+ABS(MROUND(G101,10)- 250000)*0.3,0),0)))), IF(AND(B101="2008-2009",$U$22&lt;&gt;"Female"), IF(MROUND(G101,10)&lt;= 150000, 0, IF(AND(MROUND(G101,10)&gt; 150000, MROUND(G101,10)&lt;= 300000), ROUND(ABS(MROUND(G101,10)- 150000)*0.1,0), IF(AND(MROUND(G101,10)&gt; 300000, MROUND(G101,10)&lt;= 500000),  ROUND(15000+ ABS(MROUND(G101,10)- 300000)*0.2,0),  IF(MROUND(G101,10)&gt; 500000,  ROUND(55000+ABS(MROUND(G101,10)- 500000)*0.3,0),0)))), IF(AND(B101="2008-2009",$U$22="Female"), IF(MROUND(G101,10)&lt;= 180000, 0, IF(AND(MROUND(G101,10)&gt; 180000, MROUND(G101,10)&lt;= 300000), ROUND(ABS(MROUND(G101,10)- 180000)*0.1,0), IF(AND(MROUND(G101,10)&gt; 300000, MROUND(G101,10)&lt;= 500000), ROUND(12000+ ABS(MROUND(G101,10)- 300000)*0.2,0),  IF(MROUND(G101,10)&gt; 500000,  ROUND(52000+ABS(MROUND(G101,10)- 500000)*0.3,0),0)))), IF(AND(B101="2009-2010", $U$22&lt;&gt;"Female"), IF(MROUND(G101,10)&lt;= 160000, 0, IF(AND(MROUND(G101,10)&gt; 160000, MROUND(G101,10)&lt;= 300000),ROUND(ABS(MROUND(G101,10)- 160000)*0.1,0), IF(AND(MROUND(G101,10)&gt; 300000, MROUND(G101,10)&lt;= 500000),ROUND(14000+ ABS(MROUND(G101,10)- 300000)*0.2,0),  IF(MROUND(G101,10)&gt; 500000, ROUND(54000+ABS(MROUND(G101,10)- 500000)*0.3,0),0)))),IF(AND(B101="2009-2010",$U$22="Female"), IF(MROUND(G101,10)&lt;= 190000, 0, IF(AND(MROUND(G101,10)&gt; 190000, MROUND(G101,10)&lt;= 300000),ROUND(ABS(MROUND(G101,10)- 190000)*0.1,0), IF(AND(MROUND(G101,10)&gt; 300000, MROUND(G101,10)&lt;= 500000), ROUND(11000+ ABS(MROUND(G101,10)- 300000)*0.2,0),IF(MROUND(G101,10)&gt; 500000,  ROUND(51000+ABS(MROUND(G101,10)- 500000)*0.3,0),0)))), IF(AND(B101="2010-2011",$U$22&lt;&gt;"Female"), IF(MROUND(G101,10)&lt;= 160000, 0, IF(AND(MROUND(G101,10)&gt; 160000, MROUND(G101,10)&lt;= 500000), ROUND(ABS(MROUND(G101,10)- 160000)*0.1,0), IF(AND(MROUND(G101,10)&gt; 500000, MROUND(G101,10)&lt;= 800000), ROUND(34000+ ABS(MROUND(G101,10)- 500000)*0.2,0),  IF(MROUND(G101,10)&gt; 800000,  ROUND(94000+ABS(MROUND(G101,10)- 800000)*0.3,0),0)))), IF(AND(OR(B101="2010-2011",B101="2011-2012"),$U$22="Female"), IF(MROUND(G101,10)&lt;= 190000, 0, IF(AND(MROUND(G101,10)&gt; 190000, MROUND(G101,10)&lt;= 500000), ROUND(ABS(MROUND(G101,10)- 190000)*0.1,0), IF(AND(MROUND(G101,10)&gt; 500000, MROUND(G101,10)&lt;= 800000),  ROUND(31000+ ABS(MROUND(G101,10)- 500000)*0.2,0),  IF(MROUND(G101,10)&gt; 800000,  ROUND(91000+ABS(MROUND(G101,10)- 800000)*0.3,0),0)))), IF(AND(B101="2011-2012", $U$22&lt;&gt;"Female"), IF(MROUND(G101,10)&lt;= 180000, 0, IF(AND(MROUND(G101,10)&gt; 180000, MROUND(G101,10)&lt;= 500000), ROUND(ABS(MROUND(G101,10)- 180000)*0.1,0), IF(AND(MROUND(G101,10)&gt; 500000, MROUND(G101,10)&lt;= 800000),  ROUND(32000+ ABS(MROUND(G101,10)- 500000)*0.2,0),  IF(MROUND(G101,10)&gt; 800000,  ROUND(92000+ABS(MROUND(G101,10)- 800000)*0.3,0),0)))), IF(OR(B101="2012-2013",B101="2013-2014"), IF(MROUND(G101,10)&lt;= 200000, 0, IF(AND(MROUND(G101,10)&gt; 200000, MROUND(G101,10)&lt;= 500000), ROUND(ABS(MROUND(G101,10)- 200000)*0.1,0), IF(AND(MROUND(G101,10)&gt; 500000, MROUND(G101,10)&lt;= 1000000),  ROUND(30000+ ABS(MROUND(G101,10)- 500000)*0.2,0),  IF(MROUND(G101,10)&gt; 1000000,  ROUND(130000+ABS(MROUND(G101,10)- 1000000)*0.3,0),0)))), IF(OR(B101="2014-2015", B101="2015-2016",B101="2016-2017"), IF(MROUND(G101,10)&lt;= 250000, 0, IF(AND(MROUND(G101,10)&gt; 250000, MROUND(G101,10)&lt;= 500000), ROUND(ABS(MROUND(G101,10)- 250000)*0.1,0), IF(AND(MROUND(G101,10)&gt; 500000, MROUND(G101,10)&lt;= 1000000),  ROUND(25000+ ABS(MROUND(G101,10)- 500000)*0.2,0),  IF(MROUND(G101,10)&gt; 1000000,  ROUND(125000+ABS(MROUND(G101,10)- 1000000)*0.3,0), 0)))), IF(OR(B101="2017-2018",B101="2018-2019",B101="2019-2020",AND(B101="2020-2021",'Basic Information'!$AG$22="No"),AND(B101="2021-2022",'Basic Information'!$AG$25="No"),AND(B101="2022-2023",'Basic Information'!$AG$28="No"),AND(B101="2023-2024",'Basic Information'!$AG$31="Yes")), IF(MROUND(G101,10)&lt;= 250000, 0, IF(AND(MROUND(G101,10)&gt; 250000, MROUND(G101,10)&lt;= 500000), ROUND(ABS(MROUND(G101,10)- 250000)*0.05,0), IF(AND(MROUND(G101,10)&gt; 500000, MROUND(G101,10)&lt;= 1000000),  ROUND(12500+ ABS(MROUND(G101,10)- 500000)*0.2,0),  IF(MROUND(G101,10)&gt; 1000000,  ROUND(112500+ABS(MROUND(G101,10)- 1000000)*0.3,0), 0)))),IF(OR(AND(B101="2020-2021",'Basic Information'!$AG$22="Yes"),AND(B101="2021-2022",'Basic Information'!$AG$25="Yes"),AND(B101="2022-2023",'Basic Information'!$AG$28="Yes")), IF(MROUND(G101,10)&lt;= 250000, 0, IF(AND(MROUND(G101,10)&gt; 250000, MROUND(G101,10)&lt;= 500000), ROUND(ABS(MROUND(G101,10)- 250000)*0.05,0), IF(AND(MROUND(G101,10)&gt; 500000, MROUND(G101,10)&lt;= 750000),  ROUND(12500+ ABS(MROUND(G101,10)- 500000)*0.1,0), IF(AND(MROUND(G101,10)&gt; 750000, MROUND(G101,10)&lt;= 1000000),  ROUND(37500+ ABS(MROUND(G101,10)- 750000)*0.15,0),IF(AND(MROUND(G101,10)&gt; 1000000, MROUND(G101,10)&lt;= 1250000),  ROUND(75000+ ABS(MROUND(G101,10)- 1000000)*0.2,0),IF(AND(MROUND(G101,10)&gt; 1250000, MROUND(G101,10)&lt;= 1500000),  ROUND(125000+ ABS(MROUND(G101,10)- 1250000)*0.25,0), IF(MROUND(G101,10)&gt; 1500000,  ROUND(187500+ABS(MROUND(G101,10)- 1500000)*0.3,0), 0))))))),IF(AND(B101="2023-2024",'Basic Information'!$AG$31="No"), IF(MROUND(G101,10)&lt;= 300000, 0, IF(AND(MROUND(G101,10)&gt; 300000, MROUND(G101,10)&lt;= 600000), ROUND(ABS(MROUND(G101,10)- 300000)*0.05,0), IF(AND(MROUND(G101,10)&gt; 600000, MROUND(G101,10)&lt;= 900000),  ROUND(15000+ ABS(MROUND(G101,10)- 600000)*0.1,0), IF(AND(MROUND(G101,10)&gt; 900000, MROUND(G101,10)&lt;= 1200000),  ROUND(45000+ ABS(MROUND(G101,10)- 900000)*0.15,0),IF(AND(MROUND(G101,10)&gt; 1200000, MROUND(G101,10)&lt;= 1500000),  ROUND(90000+ ABS(MROUND(G101,10)- 1200000)*0.2,0), IF(MROUND(G101,10)&gt; 1500000,  ROUND(150000+ABS(MROUND(G101,10)- 1500000)*0.3,0), 0)))))),0))))))))))))))))</f>
        <v>0</v>
      </c>
      <c r="AU101" s="6">
        <f>IF(OR(B101="2013-2014",B101="2014-2015",B101="2015-2016"),IF(AND(MROUND(G101,10)&lt;=500000,MROUND(G101,10)&lt;&gt;0),IF(AT101&lt;=2000, AT101,2000),0), IF(B101="2016-2017",IF(AND(MROUND(G101,10)&lt;=500000,MROUND(G101,10)&lt;&gt;0),IF(AT101&lt;=5000, AT101,5000),0), IF(OR(B101="2017-2018",B101="2018-2019"),IF(AND(MROUND(G101,10)&lt;=350000,MROUND(G101,10)&lt;&gt;0),IF(AT101&lt;=2500, AT101,2500),0), IF(OR(B101="2019-2020",B101="2020-2021",B101="2021-2022",B101="2022-2023",AND(B101="2023-2024",'Basic Information'!$AG$31="Yes")),IF(AND(MROUND(G101,10)&lt;=500000,MROUND(G101,10)&lt;&gt;0),IF(AT101&lt;=12500, AT101,12500),0), IF(OR(AND(B101="2023-2024",'Basic Information'!$AG$31="No")),IF(AND(MROUND(G101,10)&lt;=700000,MROUND(G101,10)&lt;&gt;0),IF(AT101&lt;=25000, AT101,25000),IF(AND(MROUND(G101,10)&lt;&gt;0,(MROUND(G101,10)-700000)&lt;=AT101),AT101-(MROUND(G101,10)-700000),0)),0)))))</f>
        <v>0</v>
      </c>
      <c r="AV101" s="6">
        <f t="shared" si="5"/>
        <v>0</v>
      </c>
      <c r="AW101" s="6">
        <f t="shared" si="6"/>
        <v>0</v>
      </c>
      <c r="AX101" s="6">
        <f>IF( AND(OR(B101="2005-2006",B101="2006-2007"),$U$22&lt;&gt;"Female"),IF( MROUND(S101,10)&lt;= 100000, 0, IF(AND(MROUND(S101,10)&gt; 100000,MROUND(S101,10)&lt;= 150000),  ROUND(ABS(MROUND(S101,10)- 100000)*0.1,0), IF(AND(MROUND(S101,10)&gt; 150000, MROUND(S101,10)&lt;= 250000), ROUND(5000+ ABS(MROUND(S101,10)- 150000)*0.2,0),IF(MROUND(S101,10)&gt; 250000,  ROUND(25000+ABS(MROUND(S101,10)- 250000)*0.3,0),  0)))),IF(AND(OR(B101="2005-2006",B101="2006-2007"),$U$22="Female"),IF(MROUND(S101,10)&lt;= 135000, 0, IF(AND(MROUND(S101,10)&gt; 135000, MROUND(S101,10)&lt;= 150000), ROUND(ABS(MROUND(S101,10)- 135000)*0.1,0), IF(AND(MROUND(S101,10)&gt; 150000, MROUND(S101,10)&lt;= 250000), ROUND(1500+ ABS(MROUND(S101,10)- 150000)*0.2,0),  IF(MROUND(S101,10)&gt; 250000, ROUND(21500+ABS(MROUND(S101,10)- 250000)*0.3,0),0)))),IF(AND(B101="2007-2008",$U$22&lt;&gt;"Female"), IF(MROUND(S101,10)&lt;= 110000,  0,  IF(AND(MROUND(S101,10)&gt; 110000, MROUND(S101,10)&lt;= 150000),     ROUND(ABS(MROUND(S101,10)- 110000)*0.1,0),  IF(AND(MROUND(S101,10)&gt; 150000, MROUND(S101,10)&lt;= 250000),  ROUND(4000+ ABS(MROUND(S101,10)- 150000)*0.2,0),   IF(MROUND(S101,10)&gt; 250000,   ROUND(24000+ABS(MROUND(S101,10)- 250000)*0.3,0),0)))),IF(AND(B101="2007-2008",$U$22="Female"), IF(MROUND(S101,10)&lt;= 145000, 0, IF(AND(MROUND(S101,10)&gt; 145000, MROUND(S101,10)&lt;= 150000),     ROUND(ABS(MROUND(S101,10)- 145000)*0.1,0),  IF(AND(MROUND(S101,10)&gt; 150000, MROUND(S101,10)&lt;= 250000),  ROUND(500+ ABS(MROUND(S101,10)- 150000)*0.2,0),  IF(MROUND(S101,10)&gt; 250000, ROUND(20500+ABS(MROUND(S101,10)- 250000)*0.3,0),0)))), IF(AND(B101="2008-2009",$U$22&lt;&gt;"Female"), IF(MROUND(S101,10)&lt;= 150000, 0, IF(AND(MROUND(S101,10)&gt; 150000, MROUND(S101,10)&lt;= 300000), ROUND(ABS(MROUND(S101,10)- 150000)*0.1,0), IF(AND(MROUND(S101,10)&gt; 300000, MROUND(S101,10)&lt;= 500000),  ROUND(15000+ ABS(MROUND(S101,10)- 300000)*0.2,0),  IF(MROUND(S101,10)&gt; 500000,  ROUND(55000+ABS(MROUND(S101,10)- 500000)*0.3,0),0)))), IF(AND(B101="2008-2009",$U$22="Female"), IF(MROUND(S101,10)&lt;= 180000, 0, IF(AND(MROUND(S101,10)&gt; 180000, MROUND(S101,10)&lt;= 300000), ROUND(ABS(MROUND(S101,10)- 180000)*0.1,0), IF(AND(MROUND(S101,10)&gt; 300000, MROUND(S101,10)&lt;= 500000), ROUND(12000+ ABS(MROUND(S101,10)- 300000)*0.2,0),  IF(MROUND(S101,10)&gt; 500000,  ROUND(52000+ABS(MROUND(S101,10)- 500000)*0.3,0),0)))), IF(AND(B101="2009-2010", $U$22&lt;&gt;"Female"), IF(MROUND(S101,10)&lt;= 160000, 0, IF(AND(MROUND(S101,10)&gt; 160000, MROUND(S101,10)&lt;= 300000),ROUND(ABS(MROUND(S101,10)- 160000)*0.1,0), IF(AND(MROUND(S101,10)&gt; 300000, MROUND(S101,10)&lt;= 500000),ROUND(14000+ ABS(MROUND(S101,10)- 300000)*0.2,0),  IF(MROUND(S101,10)&gt; 500000, ROUND(54000+ABS(MROUND(S101,10)- 500000)*0.3,0),0)))),IF(AND(B101="2009-2010",$U$22="Female"), IF(MROUND(S101,10)&lt;= 190000, 0, IF(AND(MROUND(S101,10)&gt; 190000, MROUND(S101,10)&lt;= 300000),ROUND(ABS(MROUND(S101,10)- 190000)*0.1,0), IF(AND(MROUND(S101,10)&gt; 300000, MROUND(S101,10)&lt;= 500000), ROUND(11000+ ABS(MROUND(S101,10)- 300000)*0.2,0),IF(MROUND(S101,10)&gt; 500000,  ROUND(51000+ABS(MROUND(S101,10)- 500000)*0.3,0),0)))), IF(AND(B101="2010-2011",$U$22&lt;&gt;"Female"), IF(MROUND(S101,10)&lt;= 160000, 0, IF(AND(MROUND(S101,10)&gt; 160000, MROUND(S101,10)&lt;= 500000), ROUND(ABS(MROUND(S101,10)- 160000)*0.1,0), IF(AND(MROUND(S101,10)&gt; 500000, MROUND(S101,10)&lt;= 800000), ROUND(34000+ ABS(MROUND(S101,10)- 500000)*0.2,0),  IF(MROUND(S101,10)&gt; 800000,  ROUND(94000+ABS(MROUND(S101,10)- 800000)*0.3,0),0)))), IF(AND(OR(B101="2010-2011",B101="2011-2012"),$U$22="Female"), IF(MROUND(S101,10)&lt;= 190000, 0, IF(AND(MROUND(S101,10)&gt; 190000, MROUND(S101,10)&lt;= 500000), ROUND(ABS(MROUND(S101,10)- 190000)*0.1,0), IF(AND(MROUND(S101,10)&gt; 500000, MROUND(S101,10)&lt;= 800000),  ROUND(31000+ ABS(MROUND(S101,10)- 500000)*0.2,0),  IF(MROUND(S101,10)&gt; 800000,  ROUND(91000+ABS(MROUND(S101,10)- 800000)*0.3,0),0)))), IF(AND(B101="2011-2012", $U$22&lt;&gt;"Female"), IF(MROUND(S101,10)&lt;= 180000, 0, IF(AND(MROUND(S101,10)&gt; 180000, MROUND(S101,10)&lt;= 500000), ROUND(ABS(MROUND(S101,10)- 180000)*0.1,0), IF(AND(MROUND(S101,10)&gt; 500000, MROUND(S101,10)&lt;= 800000),  ROUND(32000+ ABS(MROUND(S101,10)- 500000)*0.2,0),  IF(MROUND(S101,10)&gt; 800000,  ROUND(92000+ABS(MROUND(S101,10)- 800000)*0.3,0),0)))), IF(OR(B101="2012-2013",B101="2013-2014"), IF(MROUND(S101,10)&lt;= 200000, 0, IF(AND(MROUND(S101,10)&gt; 200000, MROUND(S101,10)&lt;= 500000), ROUND(ABS(MROUND(S101,10)- 200000)*0.1,0), IF(AND(MROUND(S101,10)&gt; 500000, MROUND(S101,10)&lt;= 1000000),  ROUND(30000+ ABS(MROUND(S101,10)- 500000)*0.2,0),  IF(MROUND(S101,10)&gt; 1000000,  ROUND(130000+ABS(MROUND(S101,10)- 1000000)*0.3,0),0)))), IF(OR(B101="2014-2015", B101="2015-2016",B101="2016-2017"), IF(MROUND(S101,10)&lt;= 250000, 0, IF(AND(MROUND(S101,10)&gt; 250000, MROUND(S101,10)&lt;= 500000), ROUND(ABS(MROUND(S101,10)- 250000)*0.1,0), IF(AND(MROUND(S101,10)&gt; 500000, MROUND(S101,10)&lt;= 1000000),  ROUND(25000+ ABS(MROUND(S101,10)- 500000)*0.2,0),  IF(MROUND(S101,10)&gt; 1000000,  ROUND(125000+ABS(MROUND(S101,10)- 1000000)*0.3,0), 0)))),IF(OR(B101="2017-2018",B101="2018-2019",B101="2019-2020",AND(B101="2020-2021",'Basic Information'!$AG$22="No"),AND(B101="2021-2022",'Basic Information'!$AG$25="No"),AND(B101="2022-2023",'Basic Information'!$AG$28="No"),AND(B101="2023-2024",'Basic Information'!$AG$31="Yes")), IF(MROUND(S101,10)&lt;= 250000, 0, IF(AND(MROUND(S101,10)&gt; 250000, MROUND(S101,10)&lt;= 500000), ROUND(ABS(MROUND(S101,10)- 250000)*0.05,0), IF(AND(MROUND(S101,10)&gt; 500000, MROUND(S101,10)&lt;= 1000000),  ROUND(12500+ ABS(MROUND(S101,10)- 500000)*0.2,0),  IF(MROUND(S101,10)&gt; 1000000,  ROUND(112500+ABS(MROUND(S101,10)- 1000000)*0.3,0), 0)))),IF(OR(AND(B101="2020-2021",'Basic Information'!$AG$22="Yes"),AND(B101="2021-2022",'Basic Information'!$AG$25="Yes"),AND(B101="2022-2023",'Basic Information'!$AG$28="Yes")), IF(MROUND(S101,10)&lt;= 250000, 0, IF(AND(MROUND(S101,10)&gt; 250000, MROUND(S101,10)&lt;= 500000), ROUND(ABS(MROUND(S101,10)- 250000)*0.05,0), IF(AND(MROUND(S101,10)&gt; 500000, MROUND(S101,10)&lt;= 750000),  ROUND(12500+ ABS(MROUND(S101,10)- 500000)*0.1,0), IF(AND(MROUND(S101,10)&gt; 750000, MROUND(S101,10)&lt;= 1000000),  ROUND(37500+ ABS(MROUND(S101,10)- 750000)*0.15,0),IF(AND(MROUND(S101,10)&gt; 1000000, MROUND(S101,10)&lt;= 1250000),  ROUND(75000+ ABS(MROUND(S101,10)- 1000000)*0.2,0),IF(AND(MROUND(S101,10)&gt; 1250000, MROUND(S101,10)&lt;= 1500000),  ROUND(125000+ ABS(MROUND(S101,10)- 1250000)*0.25,0), IF(MROUND(S101,10)&gt; 1500000,  ROUND(187500+ABS(MROUND(S101,10)- 1500000)*0.3,0), 0))))))),IF(AND(B101="2023-2024",'Basic Information'!$AG$31="No"), IF(MROUND(S101,10)&lt;= 300000, 0, IF(AND(MROUND(S101,10)&gt; 300000, MROUND(S101,10)&lt;= 600000), ROUND(ABS(MROUND(S101,10)- 300000)*0.05,0), IF(AND(MROUND(S101,10)&gt; 600000, MROUND(S101,10)&lt;= 900000),  ROUND(15000+ ABS(MROUND(S101,10)- 600000)*0.1,0), IF(AND(MROUND(S101,10)&gt; 900000, MROUND(S101,10)&lt;= 1200000),  ROUND(45000+ ABS(MROUND(S101,10)- 900000)*0.15,0),IF(AND(MROUND(S101,10)&gt; 1200000, MROUND(S101,10)&lt;= 1500000),  ROUND(90000+ ABS(MROUND(S101,10)- 1200000)*0.2,0), IF(MROUND(S101,10)&gt; 1500000,  ROUND(150000+ABS(MROUND(S101,10)- 1500000)*0.3,0), 0)))))),0))))))))))))))))</f>
        <v>0</v>
      </c>
      <c r="AY101" s="6">
        <f>IF(OR(B101="2013-2014",B101="2014-2015",B101="2015-2016"),IF(AND(MROUND(S101,10)&lt;=500000,MROUND(S101,10)&lt;&gt;0),IF(AX101&lt;=2000, AX101,2000),0), IF(B101="2016-2017",IF(AND(MROUND(S101,10)&lt;=500000,MROUND(S101,10)&lt;&gt;0),IF(AX101&lt;=5000, AX101,5000),0), IF(OR(B101="2017-2018",B101="2018-2019"),IF(AND(MROUND(S101,10)&lt;=350000,MROUND(S101,10)&lt;&gt;0),IF(AX101&lt;=2500, AX101,2500),0), IF(OR(B101="2019-2020",B101="2020-2021",B101="2021-2022",B101="2022-2023",AND(B101="2023-2024",'Basic Information'!$AG$31="Yes")),IF(AND(MROUND(S101,10)&lt;=500000,MROUND(S101,10)&lt;&gt;0),IF(AX101&lt;=12500, AX101,12500),0), IF(OR(AND(B101="2023-2024",'Basic Information'!$AG$31="No")),IF(AND(MROUND(S101,10)&lt;=700000,MROUND(S101,10)&lt;&gt;0),IF(AX101&lt;=25000, AX101,25000),IF(AND(MROUND(S101,10)&lt;&gt;0,(MROUND(S101,10)-700000)&lt;= AX101), AX101-(MROUND(S101,10)-700000),0)),0)))))</f>
        <v>0</v>
      </c>
      <c r="AZ101" s="6">
        <f t="shared" si="7"/>
        <v>0</v>
      </c>
      <c r="BA101" s="6">
        <f t="shared" si="8"/>
        <v>0</v>
      </c>
    </row>
    <row r="102" spans="2:53" x14ac:dyDescent="0.3">
      <c r="B102" s="332" t="s">
        <v>75</v>
      </c>
      <c r="C102" s="333"/>
      <c r="D102" s="333"/>
      <c r="E102" s="333"/>
      <c r="F102" s="334"/>
      <c r="G102" s="335">
        <f>SUM(G92:G101)</f>
        <v>0</v>
      </c>
      <c r="H102" s="336"/>
      <c r="I102" s="336"/>
      <c r="J102" s="336"/>
      <c r="K102" s="336"/>
      <c r="L102" s="337"/>
      <c r="M102" s="335">
        <f>SUM(M92:M101)</f>
        <v>0</v>
      </c>
      <c r="N102" s="336"/>
      <c r="O102" s="336"/>
      <c r="P102" s="336"/>
      <c r="Q102" s="336"/>
      <c r="R102" s="337"/>
      <c r="S102" s="335">
        <f>SUM(S92:S101)</f>
        <v>0</v>
      </c>
      <c r="T102" s="336"/>
      <c r="U102" s="336"/>
      <c r="V102" s="336"/>
      <c r="W102" s="336"/>
      <c r="X102" s="337"/>
      <c r="Y102" s="335">
        <f>SUM(Y92:Y101)</f>
        <v>0</v>
      </c>
      <c r="Z102" s="336"/>
      <c r="AA102" s="336"/>
      <c r="AB102" s="336"/>
      <c r="AC102" s="336"/>
      <c r="AD102" s="337"/>
      <c r="AE102" s="335">
        <f>SUM(AE92:AE101)</f>
        <v>0</v>
      </c>
      <c r="AF102" s="336"/>
      <c r="AG102" s="336"/>
      <c r="AH102" s="336"/>
      <c r="AI102" s="336"/>
      <c r="AJ102" s="338"/>
      <c r="AK102" s="339">
        <f>SUM(AK92:AK101)</f>
        <v>0</v>
      </c>
      <c r="AL102" s="340"/>
      <c r="AM102" s="340"/>
      <c r="AN102" s="340"/>
      <c r="AO102" s="340"/>
      <c r="AP102" s="341"/>
      <c r="AQ102" s="478" t="str">
        <f>IF(AND(M102=0,AF27=0),"",IF(AND(ISNUMBER(M102),OR(ISBLANK(AF27),AF27=0)),"Please enter the amount of Salary received as arrears in the cell 1(a) at the begining of the sheet. ",IF(AF27&lt;&gt;M102,"The sum of the amounts of salary arrears distributed over different years in Table A does not match the amount entered as salary received in arrears in cell 1(a) at the beginning of the sheet.","")))</f>
        <v/>
      </c>
      <c r="AR102" s="132"/>
      <c r="AS102" s="132"/>
      <c r="AT102" s="132"/>
      <c r="AU102" s="132"/>
      <c r="AV102" s="132"/>
      <c r="AW102" s="132"/>
      <c r="AX102" s="87"/>
    </row>
    <row r="103" spans="2:53" ht="30.75" customHeight="1" x14ac:dyDescent="0.3">
      <c r="B103" s="8"/>
      <c r="AQ103" s="132"/>
      <c r="AR103" s="132"/>
      <c r="AS103" s="132"/>
      <c r="AT103" s="132"/>
      <c r="AU103" s="132"/>
      <c r="AV103" s="132"/>
      <c r="AW103" s="132"/>
      <c r="AX103" s="87"/>
    </row>
    <row r="104" spans="2:53" x14ac:dyDescent="0.3">
      <c r="B104" s="475" t="s">
        <v>76</v>
      </c>
      <c r="C104" s="475"/>
      <c r="D104" s="475"/>
      <c r="E104" s="475"/>
      <c r="F104" s="475"/>
      <c r="G104" s="475"/>
      <c r="H104" s="475"/>
      <c r="I104" s="475"/>
      <c r="J104" s="475"/>
      <c r="K104" s="475"/>
      <c r="L104" s="8" t="s">
        <v>5</v>
      </c>
      <c r="M104" s="429" t="str">
        <f>PROPER(D45)</f>
        <v xml:space="preserve"> </v>
      </c>
      <c r="N104" s="429"/>
      <c r="O104" s="429"/>
      <c r="P104" s="429"/>
      <c r="Q104" s="429"/>
      <c r="R104" s="429"/>
      <c r="S104" s="429"/>
      <c r="T104" s="429"/>
      <c r="U104" s="429"/>
      <c r="V104" s="429"/>
      <c r="W104" s="429"/>
      <c r="X104" s="429"/>
      <c r="Y104" s="429"/>
      <c r="Z104" s="429"/>
      <c r="AB104" s="414" t="s">
        <v>53</v>
      </c>
      <c r="AC104" s="414"/>
      <c r="AD104" s="414"/>
      <c r="AE104" s="414"/>
      <c r="AF104" s="414"/>
      <c r="AG104" s="414"/>
      <c r="AH104" s="414"/>
      <c r="AI104" s="414"/>
      <c r="AJ104" s="414"/>
      <c r="AK104" s="414"/>
      <c r="AL104" s="414"/>
      <c r="AM104" s="414"/>
    </row>
  </sheetData>
  <sheetProtection algorithmName="SHA-512" hashValue="wd9QIbaeUO98JJMGBsfm7/7gYIXzBiXOV+H5wpoV6qN5AhFuLV0fWoXOSpLEPaSIE7meqJd0N5COmLBtTh9fOw==" saltValue="P/Blvm/cpo8nkg72ln+thg==" spinCount="100000" sheet="1" selectLockedCells="1"/>
  <mergeCells count="200">
    <mergeCell ref="AQ79:AW81"/>
    <mergeCell ref="AR2:AW4"/>
    <mergeCell ref="AR5:AT6"/>
    <mergeCell ref="AS7:AV8"/>
    <mergeCell ref="AR9:AV10"/>
    <mergeCell ref="AR11:AW12"/>
    <mergeCell ref="AR13:AW14"/>
    <mergeCell ref="AS15:AW15"/>
    <mergeCell ref="AS16:AU16"/>
    <mergeCell ref="AV16:AW16"/>
    <mergeCell ref="AR18:AW21"/>
    <mergeCell ref="AQ27:AX28"/>
    <mergeCell ref="AQ102:AW103"/>
    <mergeCell ref="B104:K104"/>
    <mergeCell ref="M104:Z104"/>
    <mergeCell ref="AB104:AM104"/>
    <mergeCell ref="B2:AN2"/>
    <mergeCell ref="B3:AN3"/>
    <mergeCell ref="B5:AN5"/>
    <mergeCell ref="D6:AN6"/>
    <mergeCell ref="B7:AN7"/>
    <mergeCell ref="B8:AN8"/>
    <mergeCell ref="C10:AN10"/>
    <mergeCell ref="C11:C19"/>
    <mergeCell ref="D11:S11"/>
    <mergeCell ref="U11:AN11"/>
    <mergeCell ref="D12:AN12"/>
    <mergeCell ref="D16:S16"/>
    <mergeCell ref="U16:AN16"/>
    <mergeCell ref="D17:S17"/>
    <mergeCell ref="U17:AN17"/>
    <mergeCell ref="D18:S18"/>
    <mergeCell ref="U18:AN18"/>
    <mergeCell ref="D13:S13"/>
    <mergeCell ref="U13:AN13"/>
    <mergeCell ref="D14:S14"/>
    <mergeCell ref="U14:AN14"/>
    <mergeCell ref="D15:S15"/>
    <mergeCell ref="U15:AN15"/>
    <mergeCell ref="D22:S22"/>
    <mergeCell ref="U22:AN22"/>
    <mergeCell ref="C24:AN24"/>
    <mergeCell ref="G25:AD25"/>
    <mergeCell ref="AE25:AL25"/>
    <mergeCell ref="D19:S19"/>
    <mergeCell ref="U19:AN19"/>
    <mergeCell ref="D20:S20"/>
    <mergeCell ref="U20:AN20"/>
    <mergeCell ref="D21:S21"/>
    <mergeCell ref="U21:AN21"/>
    <mergeCell ref="C32:C37"/>
    <mergeCell ref="D32:E37"/>
    <mergeCell ref="F32:AE37"/>
    <mergeCell ref="AF32:AN37"/>
    <mergeCell ref="C38:C39"/>
    <mergeCell ref="D38:E39"/>
    <mergeCell ref="F38:AE39"/>
    <mergeCell ref="AF38:AN39"/>
    <mergeCell ref="C27:C28"/>
    <mergeCell ref="D27:E28"/>
    <mergeCell ref="F27:AE28"/>
    <mergeCell ref="AF27:AN28"/>
    <mergeCell ref="C29:C31"/>
    <mergeCell ref="D29:E31"/>
    <mergeCell ref="F29:AE31"/>
    <mergeCell ref="AF29:AN31"/>
    <mergeCell ref="C46:AD46"/>
    <mergeCell ref="C49:F49"/>
    <mergeCell ref="AC49:AN50"/>
    <mergeCell ref="C51:F51"/>
    <mergeCell ref="H51:P51"/>
    <mergeCell ref="AC51:AN51"/>
    <mergeCell ref="C40:C41"/>
    <mergeCell ref="D40:E41"/>
    <mergeCell ref="F40:AE41"/>
    <mergeCell ref="AF40:AN41"/>
    <mergeCell ref="P43:Z43"/>
    <mergeCell ref="D45:U45"/>
    <mergeCell ref="V45:AN45"/>
    <mergeCell ref="H49:U49"/>
    <mergeCell ref="C64:C65"/>
    <mergeCell ref="D64:AE65"/>
    <mergeCell ref="AF64:AN65"/>
    <mergeCell ref="C66:C68"/>
    <mergeCell ref="D66:AE68"/>
    <mergeCell ref="AF66:AN68"/>
    <mergeCell ref="R57:X57"/>
    <mergeCell ref="O58:AA58"/>
    <mergeCell ref="M60:AC60"/>
    <mergeCell ref="C62:C63"/>
    <mergeCell ref="D62:AE63"/>
    <mergeCell ref="AF62:AN63"/>
    <mergeCell ref="C73:C75"/>
    <mergeCell ref="D73:AE75"/>
    <mergeCell ref="AF73:AN75"/>
    <mergeCell ref="C76:C78"/>
    <mergeCell ref="D76:AE78"/>
    <mergeCell ref="AF76:AN78"/>
    <mergeCell ref="C69:C70"/>
    <mergeCell ref="D69:AE70"/>
    <mergeCell ref="AF69:AN70"/>
    <mergeCell ref="C71:C72"/>
    <mergeCell ref="D71:AE72"/>
    <mergeCell ref="AF71:AN72"/>
    <mergeCell ref="B93:F93"/>
    <mergeCell ref="G93:L93"/>
    <mergeCell ref="M93:R93"/>
    <mergeCell ref="S93:X93"/>
    <mergeCell ref="Y93:AD93"/>
    <mergeCell ref="AE93:AJ93"/>
    <mergeCell ref="AK93:AP93"/>
    <mergeCell ref="B92:F92"/>
    <mergeCell ref="G92:L92"/>
    <mergeCell ref="M92:R92"/>
    <mergeCell ref="S92:X92"/>
    <mergeCell ref="Y92:AD92"/>
    <mergeCell ref="AE92:AJ92"/>
    <mergeCell ref="B91:F91"/>
    <mergeCell ref="G91:L91"/>
    <mergeCell ref="M91:R91"/>
    <mergeCell ref="S91:X91"/>
    <mergeCell ref="Y91:AD91"/>
    <mergeCell ref="AE91:AJ91"/>
    <mergeCell ref="AK91:AP91"/>
    <mergeCell ref="AK92:AP92"/>
    <mergeCell ref="C79:C81"/>
    <mergeCell ref="D79:AE81"/>
    <mergeCell ref="AF79:AN81"/>
    <mergeCell ref="Q83:X83"/>
    <mergeCell ref="O84:AA84"/>
    <mergeCell ref="B85:F90"/>
    <mergeCell ref="G85:L90"/>
    <mergeCell ref="M85:R90"/>
    <mergeCell ref="S85:X90"/>
    <mergeCell ref="Y85:AD90"/>
    <mergeCell ref="AE85:AJ90"/>
    <mergeCell ref="AK85:AP90"/>
    <mergeCell ref="AK94:AP94"/>
    <mergeCell ref="B95:F95"/>
    <mergeCell ref="G95:L95"/>
    <mergeCell ref="M95:R95"/>
    <mergeCell ref="S95:X95"/>
    <mergeCell ref="Y95:AD95"/>
    <mergeCell ref="AE95:AJ95"/>
    <mergeCell ref="AK95:AP95"/>
    <mergeCell ref="B94:F94"/>
    <mergeCell ref="G94:L94"/>
    <mergeCell ref="M94:R94"/>
    <mergeCell ref="S94:X94"/>
    <mergeCell ref="Y94:AD94"/>
    <mergeCell ref="AE94:AJ94"/>
    <mergeCell ref="AK96:AP96"/>
    <mergeCell ref="B97:F97"/>
    <mergeCell ref="G97:L97"/>
    <mergeCell ref="M97:R97"/>
    <mergeCell ref="S97:X97"/>
    <mergeCell ref="Y97:AD97"/>
    <mergeCell ref="AE97:AJ97"/>
    <mergeCell ref="AK97:AP97"/>
    <mergeCell ref="B96:F96"/>
    <mergeCell ref="G96:L96"/>
    <mergeCell ref="M96:R96"/>
    <mergeCell ref="S96:X96"/>
    <mergeCell ref="Y96:AD96"/>
    <mergeCell ref="AE96:AJ96"/>
    <mergeCell ref="G99:L99"/>
    <mergeCell ref="M99:R99"/>
    <mergeCell ref="S99:X99"/>
    <mergeCell ref="Y99:AD99"/>
    <mergeCell ref="AE99:AJ99"/>
    <mergeCell ref="AK99:AP99"/>
    <mergeCell ref="B98:F98"/>
    <mergeCell ref="G98:L98"/>
    <mergeCell ref="M98:R98"/>
    <mergeCell ref="S98:X98"/>
    <mergeCell ref="Y98:AD98"/>
    <mergeCell ref="AE98:AJ98"/>
    <mergeCell ref="AK98:AP98"/>
    <mergeCell ref="B99:F99"/>
    <mergeCell ref="B102:F102"/>
    <mergeCell ref="G102:L102"/>
    <mergeCell ref="M102:R102"/>
    <mergeCell ref="S102:X102"/>
    <mergeCell ref="Y102:AD102"/>
    <mergeCell ref="AE102:AJ102"/>
    <mergeCell ref="AK102:AP102"/>
    <mergeCell ref="AK100:AP100"/>
    <mergeCell ref="B101:F101"/>
    <mergeCell ref="G101:L101"/>
    <mergeCell ref="M101:R101"/>
    <mergeCell ref="S101:X101"/>
    <mergeCell ref="Y101:AD101"/>
    <mergeCell ref="AE101:AJ101"/>
    <mergeCell ref="AK101:AP101"/>
    <mergeCell ref="B100:F100"/>
    <mergeCell ref="G100:L100"/>
    <mergeCell ref="M100:R100"/>
    <mergeCell ref="S100:X100"/>
    <mergeCell ref="Y100:AD100"/>
    <mergeCell ref="AE100:AJ100"/>
  </mergeCells>
  <dataValidations count="5">
    <dataValidation type="list" allowBlank="1" showInputMessage="1" showErrorMessage="1" sqref="U21:AN21" xr:uid="{BD2E4E7F-9DD4-497E-BA80-5B5702C7F017}">
      <formula1>"Select, RES- Resident, NRI- Non Resident, NOR- Resident but not Ordinary Resident"</formula1>
    </dataValidation>
    <dataValidation type="list" allowBlank="1" showInputMessage="1" showErrorMessage="1" sqref="U22:AN22" xr:uid="{63071164-0D75-4A4B-A503-75F3474170B3}">
      <formula1>"Select, Male, Female"</formula1>
    </dataValidation>
    <dataValidation type="list" allowBlank="1" showInputMessage="1" showErrorMessage="1" sqref="AE25:AL25" xr:uid="{BE4545E2-13E5-444E-8AE2-B582DAC002B3}">
      <formula1>"Select,2025-2026,2024-2025,2023-2024,2022-2023,2021-2022,2020-2021, 2019-2020, 2018-2019, 2017-2018, 2016-2017, 2015-2016, 2014-2015, 2013-2014, 2012-2013, 2011-2012, 2010-2011, 2009-2010, 2008-2009, 2007-2008, 2006-2007"</formula1>
    </dataValidation>
    <dataValidation type="whole" operator="greaterThanOrEqual" allowBlank="1" showInputMessage="1" showErrorMessage="1" error="Please enter a valid amount." sqref="G92:R101 AF27:AN28" xr:uid="{DFE9E246-DD17-49A5-ACDA-49B1B800AC73}">
      <formula1>0</formula1>
    </dataValidation>
    <dataValidation type="list" allowBlank="1" showInputMessage="1" showErrorMessage="1" sqref="B92:F101" xr:uid="{0127D501-25C6-4BBE-BA81-B3193440BA89}">
      <formula1>"Select, 2023-2024, 2022-2023, 2021-2022, 2020-2021, 2019-2020, 2018-2019, 2017-2018, 2016-2017, 2015-2016, 2014-2015, 2013-2014, 2012-2013, 2011-2012, 2010-2011, 2009-2010, 2008-2009, 2007-2008, 2006-2007, 2005-2006"</formula1>
    </dataValidation>
  </dataValidations>
  <pageMargins left="0.51181102362204722" right="0.11811023622047245" top="0.55118110236220474" bottom="0.35433070866141736" header="0.31496062992125984" footer="0.31496062992125984"/>
  <pageSetup paperSize="9" orientation="portrait" blackAndWhite="1" errors="blank" r:id="rId1"/>
  <headerFooter>
    <oddFooter>&amp;CPage &amp;P of &amp;N</oddFooter>
  </headerFooter>
  <ignoredErrors>
    <ignoredError sqref="M102 G102" formulaRange="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938E6-9559-433D-B126-5A924F5892C1}">
  <dimension ref="B1:BV239"/>
  <sheetViews>
    <sheetView showGridLines="0" showRowColHeaders="0" workbookViewId="0">
      <selection activeCell="BK1" sqref="BK1"/>
    </sheetView>
  </sheetViews>
  <sheetFormatPr defaultColWidth="9.109375" defaultRowHeight="14.4" x14ac:dyDescent="0.3"/>
  <cols>
    <col min="2" max="7" width="1.44140625" customWidth="1"/>
    <col min="8" max="16" width="1.6640625" customWidth="1"/>
    <col min="17" max="22" width="1.5546875" customWidth="1"/>
    <col min="23" max="28" width="1.6640625" customWidth="1"/>
    <col min="29" max="33" width="1.5546875" customWidth="1"/>
    <col min="34" max="46" width="1.6640625" customWidth="1"/>
    <col min="47" max="63" width="1.5546875" customWidth="1"/>
    <col min="64" max="66" width="1.6640625" customWidth="1"/>
    <col min="67" max="67" width="1.5546875" customWidth="1"/>
  </cols>
  <sheetData>
    <row r="1" spans="2:74" ht="18.600000000000001" customHeight="1" x14ac:dyDescent="0.3">
      <c r="B1" s="294" t="str">
        <f>IF(ISBLANK('Basic Information'!M3),"",UPPER('Basic Information'!M3))</f>
        <v/>
      </c>
      <c r="C1" s="295"/>
      <c r="D1" s="295"/>
      <c r="E1" s="295"/>
      <c r="F1" s="295"/>
      <c r="G1" s="295"/>
      <c r="H1" s="295"/>
      <c r="I1" s="295"/>
      <c r="J1" s="295"/>
      <c r="K1" s="295"/>
      <c r="L1" s="295"/>
      <c r="M1" s="295"/>
      <c r="N1" s="295"/>
      <c r="O1" s="295"/>
      <c r="P1" s="295"/>
      <c r="Q1" s="295"/>
      <c r="R1" s="295"/>
      <c r="S1" s="295"/>
      <c r="T1" s="295"/>
      <c r="U1" s="295"/>
      <c r="V1" s="295"/>
      <c r="W1" s="295"/>
      <c r="X1" s="295"/>
      <c r="Y1" s="295"/>
      <c r="Z1" s="295"/>
      <c r="AA1" s="295"/>
      <c r="AB1" s="295"/>
      <c r="AC1" s="295"/>
      <c r="AD1" s="295"/>
      <c r="AE1" s="295"/>
      <c r="AF1" s="295"/>
      <c r="AG1" s="295"/>
      <c r="AH1" s="295"/>
      <c r="AI1" s="295"/>
      <c r="AJ1" s="295"/>
      <c r="AK1" s="295"/>
      <c r="AL1" s="295"/>
      <c r="AM1" s="295"/>
      <c r="AN1" s="295"/>
      <c r="AO1" s="295"/>
      <c r="AP1" s="295"/>
      <c r="AQ1" s="295"/>
      <c r="AR1" s="295"/>
      <c r="AS1" s="295"/>
      <c r="AT1" s="295"/>
      <c r="AU1" s="295"/>
      <c r="AV1" s="295"/>
      <c r="AW1" s="295"/>
      <c r="AX1" s="295"/>
      <c r="AY1" s="295"/>
      <c r="AZ1" s="295"/>
      <c r="BA1" s="295"/>
      <c r="BB1" s="295"/>
      <c r="BC1" s="295"/>
      <c r="BD1" s="295"/>
      <c r="BE1" s="295"/>
      <c r="BF1" s="524"/>
      <c r="BG1" s="524"/>
      <c r="BH1" s="524"/>
      <c r="BI1" s="524"/>
      <c r="BJ1" s="525"/>
    </row>
    <row r="2" spans="2:74" ht="18.600000000000001" customHeight="1" x14ac:dyDescent="0.3">
      <c r="B2" s="298" t="s">
        <v>235</v>
      </c>
      <c r="C2" s="299"/>
      <c r="D2" s="299"/>
      <c r="E2" s="299"/>
      <c r="F2" s="299"/>
      <c r="G2" s="299"/>
      <c r="H2" s="299"/>
      <c r="I2" s="299"/>
      <c r="J2" s="299"/>
      <c r="K2" s="299"/>
      <c r="L2" s="299"/>
      <c r="M2" s="299"/>
      <c r="N2" s="299"/>
      <c r="O2" s="299"/>
      <c r="P2" s="299"/>
      <c r="Q2" s="299"/>
      <c r="R2" s="299"/>
      <c r="S2" s="299"/>
      <c r="T2" s="299"/>
      <c r="U2" s="299"/>
      <c r="V2" s="299"/>
      <c r="W2" s="299"/>
      <c r="X2" s="299"/>
      <c r="Y2" s="299"/>
      <c r="Z2" s="299"/>
      <c r="AA2" s="299"/>
      <c r="AB2" s="299"/>
      <c r="AC2" s="299"/>
      <c r="AD2" s="299"/>
      <c r="AE2" s="299"/>
      <c r="AF2" s="299"/>
      <c r="AG2" s="299"/>
      <c r="AH2" s="299"/>
      <c r="AI2" s="299"/>
      <c r="AJ2" s="299"/>
      <c r="AK2" s="299"/>
      <c r="AL2" s="299"/>
      <c r="AM2" s="299"/>
      <c r="AN2" s="299"/>
      <c r="AO2" s="299"/>
      <c r="AP2" s="299"/>
      <c r="AQ2" s="299"/>
      <c r="AR2" s="299"/>
      <c r="AS2" s="299"/>
      <c r="AT2" s="299"/>
      <c r="AU2" s="299"/>
      <c r="AV2" s="299"/>
      <c r="AW2" s="299"/>
      <c r="AX2" s="299"/>
      <c r="AY2" s="299"/>
      <c r="AZ2" s="299"/>
      <c r="BA2" s="299"/>
      <c r="BB2" s="299"/>
      <c r="BC2" s="299"/>
      <c r="BD2" s="299"/>
      <c r="BE2" s="299"/>
      <c r="BF2" s="310"/>
      <c r="BG2" s="310"/>
      <c r="BH2" s="310"/>
      <c r="BI2" s="310"/>
      <c r="BJ2" s="526"/>
      <c r="BQ2" s="215" t="s">
        <v>167</v>
      </c>
      <c r="BR2" s="216"/>
      <c r="BS2" s="216"/>
      <c r="BT2" s="216"/>
      <c r="BU2" s="216"/>
    </row>
    <row r="3" spans="2:74" ht="18.600000000000001" customHeight="1" x14ac:dyDescent="0.3">
      <c r="B3" s="302" t="s">
        <v>234</v>
      </c>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c r="AK3" s="303"/>
      <c r="AL3" s="303"/>
      <c r="AM3" s="303"/>
      <c r="AN3" s="303"/>
      <c r="AO3" s="303"/>
      <c r="AP3" s="303"/>
      <c r="AQ3" s="303"/>
      <c r="AR3" s="303"/>
      <c r="AS3" s="303"/>
      <c r="AT3" s="303"/>
      <c r="AU3" s="303"/>
      <c r="AV3" s="303"/>
      <c r="AW3" s="303"/>
      <c r="AX3" s="303"/>
      <c r="AY3" s="303"/>
      <c r="AZ3" s="303"/>
      <c r="BA3" s="303"/>
      <c r="BB3" s="303"/>
      <c r="BC3" s="303"/>
      <c r="BD3" s="303"/>
      <c r="BE3" s="303"/>
      <c r="BF3" s="310"/>
      <c r="BG3" s="310"/>
      <c r="BH3" s="310"/>
      <c r="BI3" s="310"/>
      <c r="BJ3" s="526"/>
      <c r="BQ3" s="216"/>
      <c r="BR3" s="216"/>
      <c r="BS3" s="216"/>
      <c r="BT3" s="216"/>
      <c r="BU3" s="216"/>
    </row>
    <row r="4" spans="2:74" ht="8.1" customHeight="1" x14ac:dyDescent="0.3">
      <c r="B4" s="20"/>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J4" s="21"/>
      <c r="BQ4" s="527" t="s">
        <v>20</v>
      </c>
      <c r="BR4" s="528"/>
      <c r="BS4" s="528"/>
      <c r="BT4" s="528"/>
      <c r="BU4" s="528"/>
    </row>
    <row r="5" spans="2:74" ht="16.5" customHeight="1" x14ac:dyDescent="0.3">
      <c r="B5" s="244" t="s">
        <v>13</v>
      </c>
      <c r="C5" s="94"/>
      <c r="D5" s="94"/>
      <c r="E5" s="94"/>
      <c r="F5" s="94"/>
      <c r="G5" s="94"/>
      <c r="H5" s="94"/>
      <c r="I5" s="95"/>
      <c r="J5" s="95"/>
      <c r="K5" s="14" t="s">
        <v>5</v>
      </c>
      <c r="L5" s="241" t="str">
        <f>IF(ISBLANK('Basic Information'!L6)," ",PROPER('Basic Information'!L6))</f>
        <v xml:space="preserve"> </v>
      </c>
      <c r="M5" s="529"/>
      <c r="N5" s="529"/>
      <c r="O5" s="529"/>
      <c r="P5" s="529"/>
      <c r="Q5" s="529"/>
      <c r="R5" s="529"/>
      <c r="S5" s="529"/>
      <c r="T5" s="529"/>
      <c r="U5" s="529"/>
      <c r="V5" s="529"/>
      <c r="W5" s="529"/>
      <c r="X5" s="529"/>
      <c r="Y5" s="529"/>
      <c r="Z5" s="529"/>
      <c r="AA5" s="529"/>
      <c r="AB5" s="529"/>
      <c r="AC5" s="529"/>
      <c r="AD5" s="529"/>
      <c r="AE5" s="530"/>
      <c r="AF5" s="29"/>
      <c r="AG5" s="94" t="s">
        <v>132</v>
      </c>
      <c r="AH5" s="95"/>
      <c r="AI5" s="95"/>
      <c r="AJ5" s="95"/>
      <c r="AK5" s="95"/>
      <c r="AL5" s="95"/>
      <c r="AM5" s="14" t="s">
        <v>5</v>
      </c>
      <c r="AN5" s="241" t="str">
        <f>IF(ISBLANK('Basic Information'!AK6)," ",UPPER('Basic Information'!AK6))</f>
        <v xml:space="preserve"> </v>
      </c>
      <c r="AO5" s="242"/>
      <c r="AP5" s="242"/>
      <c r="AQ5" s="242"/>
      <c r="AR5" s="242"/>
      <c r="AS5" s="242"/>
      <c r="AT5" s="242"/>
      <c r="AU5" s="242"/>
      <c r="AV5" s="242"/>
      <c r="AW5" s="242"/>
      <c r="AX5" s="242"/>
      <c r="AY5" s="242"/>
      <c r="AZ5" s="242"/>
      <c r="BA5" s="242"/>
      <c r="BB5" s="242"/>
      <c r="BC5" s="242"/>
      <c r="BD5" s="242"/>
      <c r="BE5" s="243"/>
      <c r="BJ5" s="21"/>
      <c r="BQ5" s="528"/>
      <c r="BR5" s="528"/>
      <c r="BS5" s="528"/>
      <c r="BT5" s="528"/>
      <c r="BU5" s="528"/>
    </row>
    <row r="6" spans="2:74" ht="7.5" customHeight="1" x14ac:dyDescent="0.35">
      <c r="B6" s="20"/>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J6" s="21"/>
      <c r="BQ6" s="48"/>
      <c r="BR6" s="306" t="s">
        <v>166</v>
      </c>
      <c r="BS6" s="307"/>
      <c r="BT6" s="307"/>
      <c r="BU6" s="307"/>
    </row>
    <row r="7" spans="2:74" ht="16.5" customHeight="1" x14ac:dyDescent="0.35">
      <c r="B7" s="245" t="s">
        <v>15</v>
      </c>
      <c r="C7" s="246"/>
      <c r="D7" s="246"/>
      <c r="E7" s="246"/>
      <c r="F7" s="246"/>
      <c r="G7" s="246"/>
      <c r="H7" s="246"/>
      <c r="I7" s="246"/>
      <c r="J7" s="531"/>
      <c r="K7" s="90" t="s">
        <v>5</v>
      </c>
      <c r="L7" s="241" t="str">
        <f>IF(ISBLANK('Basic Information'!L10)," ",PROPER('Basic Information'!L10))</f>
        <v xml:space="preserve"> </v>
      </c>
      <c r="M7" s="532"/>
      <c r="N7" s="532"/>
      <c r="O7" s="532"/>
      <c r="P7" s="532"/>
      <c r="Q7" s="532"/>
      <c r="R7" s="532"/>
      <c r="S7" s="532"/>
      <c r="T7" s="532"/>
      <c r="U7" s="532"/>
      <c r="V7" s="532"/>
      <c r="W7" s="532"/>
      <c r="X7" s="532"/>
      <c r="Y7" s="532"/>
      <c r="Z7" s="532"/>
      <c r="AA7" s="532"/>
      <c r="AB7" s="532"/>
      <c r="AC7" s="532"/>
      <c r="AD7" s="532"/>
      <c r="AE7" s="533"/>
      <c r="AF7" s="17"/>
      <c r="AG7" s="17"/>
      <c r="AH7" s="33" t="str">
        <f>IF(AND(ISBLANK(L7),ISNUMBER(K12)),"Please select a Designation","")</f>
        <v/>
      </c>
      <c r="AI7" s="17"/>
      <c r="AJ7" s="17"/>
      <c r="AK7" s="17"/>
      <c r="AL7" s="17"/>
      <c r="AM7" s="17"/>
      <c r="AN7" s="17"/>
      <c r="AO7" s="17"/>
      <c r="AP7" s="17"/>
      <c r="AQ7" s="17"/>
      <c r="AR7" s="17"/>
      <c r="AS7" s="17"/>
      <c r="AT7" s="17"/>
      <c r="AU7" s="17"/>
      <c r="AV7" s="17"/>
      <c r="AW7" s="17"/>
      <c r="AX7" s="17"/>
      <c r="AY7" s="17"/>
      <c r="AZ7" s="17"/>
      <c r="BA7" s="17"/>
      <c r="BB7" s="17"/>
      <c r="BC7" s="17"/>
      <c r="BD7" s="17"/>
      <c r="BE7" s="17"/>
      <c r="BF7" s="18"/>
      <c r="BG7" s="18"/>
      <c r="BH7" s="18"/>
      <c r="BI7" s="18"/>
      <c r="BJ7" s="23"/>
      <c r="BP7" s="6">
        <f>IF(ISTEXT(L7),IF(OR(L7="Assistant Professor - Level 10",L7="College Librarian - Level 10"),10,IF(OR(L7="Assistant Professor - Level 11",L7="College Librarian - Level 11"),11,IF(OR(L7="Assistant Professor - Level 12",L7="College Librarian - Level 12"),12,IF(OR(L7="Associate Professor - Level 13A",L7="College Librarian - Level 13A"),13,IF(L7="Professor - Level 14",14,IF(L7="Professor - Level 15",15,IF(L7="Principal",16,0))))))),0)</f>
        <v>0</v>
      </c>
      <c r="BQ7" s="48"/>
      <c r="BR7" s="307"/>
      <c r="BS7" s="307"/>
      <c r="BT7" s="307"/>
      <c r="BU7" s="307"/>
    </row>
    <row r="8" spans="2:74" ht="9" customHeight="1" x14ac:dyDescent="0.3">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P8" s="6">
        <f>IF(ISBLANK('Basic Information'!O16),0,'Basic Information'!O16)</f>
        <v>0</v>
      </c>
      <c r="BQ8" s="527" t="s">
        <v>21</v>
      </c>
      <c r="BR8" s="534"/>
      <c r="BS8" s="534"/>
      <c r="BT8" s="534"/>
      <c r="BU8" s="534"/>
    </row>
    <row r="9" spans="2:74" ht="15" customHeight="1" x14ac:dyDescent="0.3">
      <c r="B9" s="256" t="s">
        <v>88</v>
      </c>
      <c r="C9" s="257"/>
      <c r="D9" s="257"/>
      <c r="E9" s="257"/>
      <c r="F9" s="257"/>
      <c r="G9" s="257"/>
      <c r="H9" s="257"/>
      <c r="I9" s="257"/>
      <c r="J9" s="257"/>
      <c r="K9" s="257"/>
      <c r="L9" s="257"/>
      <c r="M9" s="257"/>
      <c r="N9" s="257"/>
      <c r="O9" s="257"/>
      <c r="P9" s="257"/>
      <c r="Q9" s="257"/>
      <c r="R9" s="257"/>
      <c r="S9" s="257"/>
      <c r="T9" s="257"/>
      <c r="U9" s="258"/>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6"/>
      <c r="BG9" s="16"/>
      <c r="BH9" s="16"/>
      <c r="BI9" s="16"/>
      <c r="BJ9" s="28"/>
      <c r="BP9" s="6">
        <f>IF(ISTEXT('Basic Information'!L14),IF('Basic Information'!L14="Class A - Corporation limits",10,IF('Basic Information'!L14="Class B - Municipalities at District Headquarters",8,IF('Basic Information'!L14="Class C - Municipalities",6,IF('Basic Information'!L14="Class D - Panchayaths",4,0)))),0)</f>
        <v>0</v>
      </c>
      <c r="BQ9" s="534"/>
      <c r="BR9" s="534"/>
      <c r="BS9" s="534"/>
      <c r="BT9" s="534"/>
      <c r="BU9" s="534"/>
    </row>
    <row r="10" spans="2:74" ht="5.0999999999999996" customHeight="1" x14ac:dyDescent="0.3">
      <c r="B10" s="30"/>
      <c r="C10" s="31"/>
      <c r="D10" s="31"/>
      <c r="E10" s="31"/>
      <c r="F10" s="31"/>
      <c r="G10" s="31"/>
      <c r="H10" s="31"/>
      <c r="I10" s="31"/>
      <c r="J10" s="31"/>
      <c r="K10" s="31"/>
      <c r="L10" s="31"/>
      <c r="M10" s="31"/>
      <c r="N10" s="31"/>
      <c r="O10" s="31"/>
      <c r="P10" s="31"/>
      <c r="Q10" s="31"/>
      <c r="R10" s="31"/>
      <c r="S10" s="31"/>
      <c r="T10" s="31"/>
      <c r="U10" s="3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J10" s="21"/>
      <c r="BQ10" s="309" t="s">
        <v>165</v>
      </c>
      <c r="BR10" s="310"/>
      <c r="BS10" s="310"/>
      <c r="BT10" s="310"/>
      <c r="BU10" s="310"/>
      <c r="BV10" s="310"/>
    </row>
    <row r="11" spans="2:74" ht="15" customHeight="1" x14ac:dyDescent="0.3">
      <c r="B11" s="249" t="s">
        <v>0</v>
      </c>
      <c r="C11" s="482"/>
      <c r="D11" s="482"/>
      <c r="E11" s="482"/>
      <c r="F11" s="482"/>
      <c r="G11" s="482"/>
      <c r="H11" s="482"/>
      <c r="I11" s="482"/>
      <c r="J11" s="482"/>
      <c r="K11" s="226" t="s">
        <v>1</v>
      </c>
      <c r="L11" s="253"/>
      <c r="M11" s="253"/>
      <c r="N11" s="253"/>
      <c r="O11" s="253"/>
      <c r="P11" s="253"/>
      <c r="Q11" s="227"/>
      <c r="R11" s="226" t="s">
        <v>2</v>
      </c>
      <c r="S11" s="227"/>
      <c r="T11" s="227"/>
      <c r="U11" s="227"/>
      <c r="V11" s="227"/>
      <c r="W11" s="227"/>
      <c r="X11" s="255"/>
      <c r="Y11" s="293" t="s">
        <v>3</v>
      </c>
      <c r="Z11" s="227"/>
      <c r="AA11" s="227"/>
      <c r="AB11" s="227"/>
      <c r="AC11" s="227"/>
      <c r="AD11" s="227"/>
      <c r="AE11" s="255"/>
      <c r="AF11" s="293" t="s">
        <v>4</v>
      </c>
      <c r="AG11" s="227"/>
      <c r="AH11" s="227"/>
      <c r="AI11" s="227"/>
      <c r="AJ11" s="227"/>
      <c r="AK11" s="227"/>
      <c r="AL11" s="255"/>
      <c r="BJ11" s="21"/>
      <c r="BQ11" s="310"/>
      <c r="BR11" s="310"/>
      <c r="BS11" s="310"/>
      <c r="BT11" s="310"/>
      <c r="BU11" s="310"/>
      <c r="BV11" s="310"/>
    </row>
    <row r="12" spans="2:74" ht="16.5" customHeight="1" x14ac:dyDescent="0.3">
      <c r="B12" s="233" t="s">
        <v>28</v>
      </c>
      <c r="C12" s="523"/>
      <c r="D12" s="523"/>
      <c r="E12" s="523"/>
      <c r="F12" s="523"/>
      <c r="G12" s="523"/>
      <c r="H12" s="517">
        <v>2024</v>
      </c>
      <c r="I12" s="518"/>
      <c r="J12" s="519"/>
      <c r="K12" s="509">
        <f>IF(BP8&lt;&gt;0,IF(BP7=10,IF(BP8&gt;=182400,182400,BP8),IF(BP7=11,IF(BP8&gt;=205500,205500,BP8),IF(BP7=12,IF(BP8&gt;=211500,211500,BP8),IF(BP7=13,IF(BP8&gt;=217100,217100,BP8),IF(OR(BP7=14,BP7=16),IF(BP8&gt;=218200,218200,BP8),IF(BP7=15,IF(BP8&gt;=224100,224100, BP8),0)))))),)</f>
        <v>0</v>
      </c>
      <c r="L12" s="510"/>
      <c r="M12" s="510"/>
      <c r="N12" s="510"/>
      <c r="O12" s="510"/>
      <c r="P12" s="510"/>
      <c r="Q12" s="510"/>
      <c r="R12" s="509">
        <f>IF(ISNUMBER(K12),ROUND((K12)*0.17,0),0)</f>
        <v>0</v>
      </c>
      <c r="S12" s="510"/>
      <c r="T12" s="510"/>
      <c r="U12" s="510"/>
      <c r="V12" s="510"/>
      <c r="W12" s="510"/>
      <c r="X12" s="511"/>
      <c r="Y12" s="509">
        <f>IF(K12&lt;&gt;0,IF(BP9=10,IF(K12*0.1&gt;=10000,10000,IF(K12*0.1&lt;=2300,2300,ROUND(K12*0.1,0))),IF(BP9=8,IF(K12*0.08&gt;=8000,8000,IF(K12*0.08&lt;=2000,2000,ROUND(K12*0.08,0))),IF(BP9=6,IF(K12*0.06&gt;=6000,6000,IF(K12*0.06&lt;=1500,1500,ROUND(K12*0.06,0))),IF(BP9=4,IF(K12*0.04&gt;=4000,4000,IF(K12*0.04&lt;=1200,1200,ROUND(K12*0.04,0))),0)))),0)</f>
        <v>0</v>
      </c>
      <c r="Z12" s="510"/>
      <c r="AA12" s="510"/>
      <c r="AB12" s="510"/>
      <c r="AC12" s="510"/>
      <c r="AD12" s="510"/>
      <c r="AE12" s="510"/>
      <c r="AF12" s="520">
        <f>SUM(K12,R12,Y12)</f>
        <v>0</v>
      </c>
      <c r="AG12" s="521"/>
      <c r="AH12" s="521"/>
      <c r="AI12" s="521"/>
      <c r="AJ12" s="521"/>
      <c r="AK12" s="521"/>
      <c r="AL12" s="522"/>
      <c r="BJ12" s="21"/>
      <c r="BQ12" s="317" t="s">
        <v>36</v>
      </c>
      <c r="BR12" s="318"/>
      <c r="BS12" s="318"/>
      <c r="BT12" s="318"/>
      <c r="BU12" s="318"/>
      <c r="BV12" s="318"/>
    </row>
    <row r="13" spans="2:74" ht="16.5" customHeight="1" x14ac:dyDescent="0.3">
      <c r="B13" s="233" t="s">
        <v>29</v>
      </c>
      <c r="C13" s="523"/>
      <c r="D13" s="523"/>
      <c r="E13" s="523"/>
      <c r="F13" s="523"/>
      <c r="G13" s="523"/>
      <c r="H13" s="517">
        <v>2024</v>
      </c>
      <c r="I13" s="518"/>
      <c r="J13" s="519"/>
      <c r="K13" s="509">
        <f t="shared" ref="K13" si="0">IF(K12&lt;&gt;0,K12,0)</f>
        <v>0</v>
      </c>
      <c r="L13" s="510"/>
      <c r="M13" s="510"/>
      <c r="N13" s="510"/>
      <c r="O13" s="510"/>
      <c r="P13" s="510"/>
      <c r="Q13" s="510"/>
      <c r="R13" s="509">
        <f>IF(ISNUMBER(K13),ROUND((K13)*0.31,0),0)</f>
        <v>0</v>
      </c>
      <c r="S13" s="510"/>
      <c r="T13" s="510"/>
      <c r="U13" s="510"/>
      <c r="V13" s="510"/>
      <c r="W13" s="510"/>
      <c r="X13" s="511"/>
      <c r="Y13" s="509">
        <f>IF(K13&lt;&gt;0,IF(BP9=10,IF(K13*0.1&gt;=10000,10000,IF(K13*0.1&lt;=2300,2300,ROUND(K13*0.1,0))),IF(BP9=8,IF(K13*0.08&gt;=8000,8000,IF(K13*0.08&lt;=2000,2000,ROUND(K13*0.08,0))),IF(BP9=6,IF(K13*0.06&gt;=6000,6000,IF(K13*0.06&lt;=1500,1500,ROUND(K13*0.06,0))),IF(BP9=4,IF(K13*0.04&gt;=4000,4000,IF(K13*0.04&lt;=1200,1200,ROUND(K13*0.04,0))),0)))),0)</f>
        <v>0</v>
      </c>
      <c r="Z13" s="510"/>
      <c r="AA13" s="510"/>
      <c r="AB13" s="510"/>
      <c r="AC13" s="510"/>
      <c r="AD13" s="510"/>
      <c r="AE13" s="510"/>
      <c r="AF13" s="520">
        <f t="shared" ref="AF13:AF23" si="1">SUM(K13,R13,Y13)</f>
        <v>0</v>
      </c>
      <c r="AG13" s="521"/>
      <c r="AH13" s="521"/>
      <c r="AI13" s="521"/>
      <c r="AJ13" s="521"/>
      <c r="AK13" s="521"/>
      <c r="AL13" s="522"/>
      <c r="BJ13" s="21"/>
      <c r="BQ13" s="116"/>
      <c r="BR13" s="116"/>
      <c r="BS13" s="116"/>
      <c r="BT13" s="116"/>
      <c r="BU13" s="116"/>
      <c r="BV13" s="116"/>
    </row>
    <row r="14" spans="2:74" ht="16.5" customHeight="1" x14ac:dyDescent="0.3">
      <c r="B14" s="233" t="s">
        <v>30</v>
      </c>
      <c r="C14" s="523"/>
      <c r="D14" s="523"/>
      <c r="E14" s="523"/>
      <c r="F14" s="523"/>
      <c r="G14" s="523"/>
      <c r="H14" s="517">
        <v>2024</v>
      </c>
      <c r="I14" s="518"/>
      <c r="J14" s="519"/>
      <c r="K14" s="509">
        <f t="shared" ref="K14" si="2">IF(K13&lt;&gt;0,K13,0)</f>
        <v>0</v>
      </c>
      <c r="L14" s="510"/>
      <c r="M14" s="510"/>
      <c r="N14" s="510"/>
      <c r="O14" s="510"/>
      <c r="P14" s="510"/>
      <c r="Q14" s="510"/>
      <c r="R14" s="509">
        <f t="shared" ref="R14:R18" si="3">IF(ISNUMBER(K14),ROUND((K14)*0.31,0),0)</f>
        <v>0</v>
      </c>
      <c r="S14" s="510"/>
      <c r="T14" s="510"/>
      <c r="U14" s="510"/>
      <c r="V14" s="510"/>
      <c r="W14" s="510"/>
      <c r="X14" s="511"/>
      <c r="Y14" s="509">
        <f>IF(K14&lt;&gt;0,IF(BP9=10,IF(K14*0.1&gt;=10000,10000,IF(K14*0.1&lt;=2300,2300,ROUND(K14*0.1,0))),IF(BP9=8,IF(K14*0.08&gt;=8000,8000,IF(K14*0.08&lt;=2000,2000,ROUND(K14*0.08,0))),IF(BP9=6,IF(K14*0.06&gt;=6000,6000,IF(K14*0.06&lt;=1500,1500,ROUND(K14*0.06,0))),IF(BP9=4,IF(K14*0.04&gt;=4000,4000,IF(K14*0.04&lt;=1200,1200,ROUND(K14*0.04,0))),0)))),0)</f>
        <v>0</v>
      </c>
      <c r="Z14" s="510"/>
      <c r="AA14" s="510"/>
      <c r="AB14" s="510"/>
      <c r="AC14" s="510"/>
      <c r="AD14" s="510"/>
      <c r="AE14" s="510"/>
      <c r="AF14" s="520">
        <f t="shared" si="1"/>
        <v>0</v>
      </c>
      <c r="AG14" s="521"/>
      <c r="AH14" s="521"/>
      <c r="AI14" s="521"/>
      <c r="AJ14" s="521"/>
      <c r="AK14" s="521"/>
      <c r="AL14" s="522"/>
      <c r="BJ14" s="21"/>
      <c r="BR14" s="311" t="s">
        <v>22</v>
      </c>
      <c r="BS14" s="311"/>
      <c r="BT14" s="311"/>
      <c r="BU14" s="311"/>
      <c r="BV14" s="311"/>
    </row>
    <row r="15" spans="2:74" ht="16.5" customHeight="1" x14ac:dyDescent="0.3">
      <c r="B15" s="233" t="s">
        <v>31</v>
      </c>
      <c r="C15" s="523"/>
      <c r="D15" s="523"/>
      <c r="E15" s="523"/>
      <c r="F15" s="523"/>
      <c r="G15" s="523"/>
      <c r="H15" s="517">
        <v>2024</v>
      </c>
      <c r="I15" s="518"/>
      <c r="J15" s="519"/>
      <c r="K15" s="509">
        <f>IF(K14&lt;&gt;0,K14,0)</f>
        <v>0</v>
      </c>
      <c r="L15" s="510"/>
      <c r="M15" s="510"/>
      <c r="N15" s="510"/>
      <c r="O15" s="510"/>
      <c r="P15" s="510"/>
      <c r="Q15" s="510"/>
      <c r="R15" s="509">
        <f t="shared" si="3"/>
        <v>0</v>
      </c>
      <c r="S15" s="510"/>
      <c r="T15" s="510"/>
      <c r="U15" s="510"/>
      <c r="V15" s="510"/>
      <c r="W15" s="510"/>
      <c r="X15" s="511"/>
      <c r="Y15" s="509">
        <f>IF(K15&lt;&gt;0,IF(BP9=10,IF(K15*0.1&gt;=10000,10000,IF(K15*0.1&lt;=2300,2300,ROUND(K15*0.1,0))),IF(BP9=8,IF(K15*0.08&gt;=8000,8000,IF(K15*0.08&lt;=2000,2000,ROUND(K15*0.08,0))),IF(BP9=6,IF(K15*0.06&gt;=6000,6000,IF(K15*0.06&lt;=1500,1500,ROUND(K15*0.06,0))),IF(BP9=4,IF(K15*0.04&gt;=4000,4000,IF(K15*0.04&lt;=1200,1200,ROUND(K15*0.04,0))),0)))),0)</f>
        <v>0</v>
      </c>
      <c r="Z15" s="510"/>
      <c r="AA15" s="510"/>
      <c r="AB15" s="510"/>
      <c r="AC15" s="510"/>
      <c r="AD15" s="510"/>
      <c r="AE15" s="510"/>
      <c r="AF15" s="520">
        <f t="shared" si="1"/>
        <v>0</v>
      </c>
      <c r="AG15" s="521"/>
      <c r="AH15" s="521"/>
      <c r="AI15" s="521"/>
      <c r="AJ15" s="521"/>
      <c r="AK15" s="521"/>
      <c r="AL15" s="522"/>
      <c r="BJ15" s="21"/>
    </row>
    <row r="16" spans="2:74" ht="16.5" customHeight="1" x14ac:dyDescent="0.3">
      <c r="B16" s="233" t="s">
        <v>32</v>
      </c>
      <c r="C16" s="523"/>
      <c r="D16" s="523"/>
      <c r="E16" s="523"/>
      <c r="F16" s="523"/>
      <c r="G16" s="523"/>
      <c r="H16" s="517">
        <v>2024</v>
      </c>
      <c r="I16" s="518"/>
      <c r="J16" s="519"/>
      <c r="K16" s="509">
        <f>IF('Basic Information'!Q12="July",IF(K12&lt;&gt;0,IF(BP7=10,IF(OR(K12&gt;=182400,MROUND(K12*1.03,100)&gt;=182400),182400,MROUND(K12*1.03,100)),IF(BP7=11,IF(OR(K12&gt;=205500,MROUND(K12*1.03,100)&gt;=205500),205500,MROUND(K12*1.03,100)),IF(BP7=12,IF(OR(K12&gt;=211500,MROUND(K12*1.03,100)&gt;=211500),211500,MROUND(K12*1.03,100)),IF(BP7=13,IF(OR(K12&gt;=217100,MROUND(K12*1.03,100)&gt;=217100),217100,MROUND(K12*1.03,100)),IF(OR(BP7=14,BP7=16),IF(OR(K12&gt;=218200,MROUND(K12*1.03,100)&gt;=218200),218200,MROUND(K12*1.03,100)),IF(BP7=15,IF(OR(K12&gt;=224100,MROUND(K12*1.03,100)&gt;=224100),224100, MROUND(K12*1.03,100)),0)))))),),IF(K15&lt;&gt;0,K15,0))</f>
        <v>0</v>
      </c>
      <c r="L16" s="510"/>
      <c r="M16" s="510"/>
      <c r="N16" s="510"/>
      <c r="O16" s="510"/>
      <c r="P16" s="510"/>
      <c r="Q16" s="510"/>
      <c r="R16" s="509">
        <f t="shared" si="3"/>
        <v>0</v>
      </c>
      <c r="S16" s="510"/>
      <c r="T16" s="510"/>
      <c r="U16" s="510"/>
      <c r="V16" s="510"/>
      <c r="W16" s="510"/>
      <c r="X16" s="511"/>
      <c r="Y16" s="509">
        <f>IF(K16&lt;&gt;0,IF(BP9=10,IF(K16*0.1&gt;=10000,10000,IF(K16*0.1&lt;=2300,2300,ROUND(K16*0.1,0))),IF(BP9=8,IF(K16*0.08&gt;=8000,8000,IF(K16*0.08&lt;=2000,2000,ROUND(K16*0.08,0))),IF(BP9=6,IF(K16*0.06&gt;=6000,6000,IF(K16*0.06&lt;=1500,1500,ROUND(K16*0.06,0))),IF(BP9=4,IF(K16*0.04&gt;=4000,4000,IF(K16*0.04&lt;=1200,1200,ROUND(K16*0.04,0))),0)))),0)</f>
        <v>0</v>
      </c>
      <c r="Z16" s="510"/>
      <c r="AA16" s="510"/>
      <c r="AB16" s="510"/>
      <c r="AC16" s="510"/>
      <c r="AD16" s="510"/>
      <c r="AE16" s="510"/>
      <c r="AF16" s="520">
        <f t="shared" si="1"/>
        <v>0</v>
      </c>
      <c r="AG16" s="521"/>
      <c r="AH16" s="521"/>
      <c r="AI16" s="521"/>
      <c r="AJ16" s="521"/>
      <c r="AK16" s="521"/>
      <c r="AL16" s="522"/>
      <c r="BJ16" s="21"/>
      <c r="BP16" s="6"/>
      <c r="BQ16" s="315" t="s">
        <v>191</v>
      </c>
      <c r="BR16" s="316"/>
      <c r="BS16" s="316"/>
      <c r="BT16" s="316"/>
      <c r="BU16" s="316"/>
      <c r="BV16" s="316"/>
    </row>
    <row r="17" spans="2:74" ht="16.5" customHeight="1" x14ac:dyDescent="0.3">
      <c r="B17" s="233" t="s">
        <v>33</v>
      </c>
      <c r="C17" s="523"/>
      <c r="D17" s="523"/>
      <c r="E17" s="523"/>
      <c r="F17" s="523"/>
      <c r="G17" s="523"/>
      <c r="H17" s="517">
        <v>2024</v>
      </c>
      <c r="I17" s="518"/>
      <c r="J17" s="519"/>
      <c r="K17" s="509">
        <f>IF(K16&lt;&gt;0,K16,0)</f>
        <v>0</v>
      </c>
      <c r="L17" s="510"/>
      <c r="M17" s="510"/>
      <c r="N17" s="510"/>
      <c r="O17" s="510"/>
      <c r="P17" s="510"/>
      <c r="Q17" s="510"/>
      <c r="R17" s="509">
        <f t="shared" si="3"/>
        <v>0</v>
      </c>
      <c r="S17" s="510"/>
      <c r="T17" s="510"/>
      <c r="U17" s="510"/>
      <c r="V17" s="510"/>
      <c r="W17" s="510"/>
      <c r="X17" s="511"/>
      <c r="Y17" s="509">
        <f>IF(K17&lt;&gt;0,IF(BP9=10,IF(K17*0.1&gt;=10000,10000,IF(K17*0.1&lt;=2300,2300,ROUND(K17*0.1,0))),IF(BP9=8,IF(K17*0.08&gt;=8000,8000,IF(K17*0.08&lt;=2000,2000,ROUND(K17*0.08,0))),IF(BP9=6,IF(K17*0.06&gt;=6000,6000,IF(K17*0.06&lt;=1500,1500,ROUND(K17*0.06,0))),IF(BP9=4,IF(K17*0.04&gt;=4000,4000,IF(K17*0.04&lt;=1200,1200,ROUND(K17*0.04,0))),0)))),0)</f>
        <v>0</v>
      </c>
      <c r="Z17" s="510"/>
      <c r="AA17" s="510"/>
      <c r="AB17" s="510"/>
      <c r="AC17" s="510"/>
      <c r="AD17" s="510"/>
      <c r="AE17" s="510"/>
      <c r="AF17" s="520">
        <f t="shared" si="1"/>
        <v>0</v>
      </c>
      <c r="AG17" s="521"/>
      <c r="AH17" s="521"/>
      <c r="AI17" s="521"/>
      <c r="AJ17" s="521"/>
      <c r="AK17" s="521"/>
      <c r="AL17" s="522"/>
      <c r="BJ17" s="21"/>
      <c r="BQ17" s="316"/>
      <c r="BR17" s="316"/>
      <c r="BS17" s="316"/>
      <c r="BT17" s="316"/>
      <c r="BU17" s="316"/>
      <c r="BV17" s="316"/>
    </row>
    <row r="18" spans="2:74" ht="16.5" customHeight="1" x14ac:dyDescent="0.3">
      <c r="B18" s="233" t="s">
        <v>24</v>
      </c>
      <c r="C18" s="523"/>
      <c r="D18" s="523"/>
      <c r="E18" s="523"/>
      <c r="F18" s="523"/>
      <c r="G18" s="523"/>
      <c r="H18" s="517">
        <v>2024</v>
      </c>
      <c r="I18" s="518"/>
      <c r="J18" s="519"/>
      <c r="K18" s="509">
        <f>IF(K17&lt;&gt;0,K17,0)</f>
        <v>0</v>
      </c>
      <c r="L18" s="510"/>
      <c r="M18" s="510"/>
      <c r="N18" s="510"/>
      <c r="O18" s="510"/>
      <c r="P18" s="510"/>
      <c r="Q18" s="510"/>
      <c r="R18" s="509">
        <f t="shared" si="3"/>
        <v>0</v>
      </c>
      <c r="S18" s="510"/>
      <c r="T18" s="510"/>
      <c r="U18" s="510"/>
      <c r="V18" s="510"/>
      <c r="W18" s="510"/>
      <c r="X18" s="511"/>
      <c r="Y18" s="509">
        <f>IF(K18&lt;&gt;0,IF(BP9=10,IF(K18*0.1&gt;=10000,10000,IF(K18*0.1&lt;=2300,2300,ROUND(K18*0.1,0))),IF(BP9=8,IF(K18*0.08&gt;=8000,8000,IF(K18*0.08&lt;=2000,2000,ROUND(K18*0.08,0))),IF(BP9=6,IF(K18*0.06&gt;=6000,6000,IF(K18*0.06&lt;=1500,1500,ROUND(K18*0.06,0))),IF(BP9=4,IF(K18*0.04&gt;=4000,4000,IF(K18*0.04&lt;=1200,1200,ROUND(K18*0.04,0))),0)))),0)</f>
        <v>0</v>
      </c>
      <c r="Z18" s="510"/>
      <c r="AA18" s="510"/>
      <c r="AB18" s="510"/>
      <c r="AC18" s="510"/>
      <c r="AD18" s="510"/>
      <c r="AE18" s="510"/>
      <c r="AF18" s="520">
        <f t="shared" si="1"/>
        <v>0</v>
      </c>
      <c r="AG18" s="521"/>
      <c r="AH18" s="521"/>
      <c r="AI18" s="521"/>
      <c r="AJ18" s="521"/>
      <c r="AK18" s="521"/>
      <c r="AL18" s="522"/>
      <c r="BJ18" s="21"/>
      <c r="BQ18" s="316"/>
      <c r="BR18" s="316"/>
      <c r="BS18" s="316"/>
      <c r="BT18" s="316"/>
      <c r="BU18" s="316"/>
      <c r="BV18" s="316"/>
    </row>
    <row r="19" spans="2:74" ht="16.5" customHeight="1" x14ac:dyDescent="0.3">
      <c r="B19" s="233" t="s">
        <v>34</v>
      </c>
      <c r="C19" s="523"/>
      <c r="D19" s="523"/>
      <c r="E19" s="523"/>
      <c r="F19" s="523"/>
      <c r="G19" s="523"/>
      <c r="H19" s="517">
        <v>2024</v>
      </c>
      <c r="I19" s="518"/>
      <c r="J19" s="519"/>
      <c r="K19" s="509">
        <f>IF(K18&lt;&gt;0,K18,0)</f>
        <v>0</v>
      </c>
      <c r="L19" s="510"/>
      <c r="M19" s="510"/>
      <c r="N19" s="510"/>
      <c r="O19" s="510"/>
      <c r="P19" s="510"/>
      <c r="Q19" s="510"/>
      <c r="R19" s="509">
        <f>IF(ISNUMBER(K19),ROUND((K19)*0.34,0),0)</f>
        <v>0</v>
      </c>
      <c r="S19" s="510"/>
      <c r="T19" s="510"/>
      <c r="U19" s="510"/>
      <c r="V19" s="510"/>
      <c r="W19" s="510"/>
      <c r="X19" s="511"/>
      <c r="Y19" s="509">
        <f>IF(K19&lt;&gt;0,IF(BP9=10,IF(K19*0.1&gt;=10000,10000,IF(K19*0.1&lt;=2300,2300,ROUND(K19*0.1,0))),IF(BP9=8,IF(K19*0.08&gt;=8000,8000,IF(K19*0.08&lt;=2000,2000,ROUND(K19*0.08,0))),IF(BP9=6,IF(K19*0.06&gt;=6000,6000,IF(K19*0.06&lt;=1500,1500,ROUND(K19*0.06,0))),IF(BP9=4,IF(K19*0.04&gt;=4000,4000,IF(K19*0.04&lt;=1200,1200,ROUND(K19*0.04,0))),0)))),0)</f>
        <v>0</v>
      </c>
      <c r="Z19" s="510"/>
      <c r="AA19" s="510"/>
      <c r="AB19" s="510"/>
      <c r="AC19" s="510"/>
      <c r="AD19" s="510"/>
      <c r="AE19" s="510"/>
      <c r="AF19" s="520">
        <f t="shared" si="1"/>
        <v>0</v>
      </c>
      <c r="AG19" s="521"/>
      <c r="AH19" s="521"/>
      <c r="AI19" s="521"/>
      <c r="AJ19" s="521"/>
      <c r="AK19" s="521"/>
      <c r="AL19" s="522"/>
      <c r="BJ19" s="21"/>
      <c r="BQ19" s="116"/>
      <c r="BR19" s="116"/>
      <c r="BS19" s="116"/>
      <c r="BT19" s="116"/>
      <c r="BU19" s="116"/>
      <c r="BV19" s="116"/>
    </row>
    <row r="20" spans="2:74" ht="16.5" customHeight="1" x14ac:dyDescent="0.3">
      <c r="B20" s="233" t="s">
        <v>35</v>
      </c>
      <c r="C20" s="523"/>
      <c r="D20" s="523"/>
      <c r="E20" s="523"/>
      <c r="F20" s="523"/>
      <c r="G20" s="523"/>
      <c r="H20" s="517">
        <v>2024</v>
      </c>
      <c r="I20" s="518"/>
      <c r="J20" s="519"/>
      <c r="K20" s="509">
        <f>IF(K19&lt;&gt;0,K19,0)</f>
        <v>0</v>
      </c>
      <c r="L20" s="510"/>
      <c r="M20" s="510"/>
      <c r="N20" s="510"/>
      <c r="O20" s="510"/>
      <c r="P20" s="510"/>
      <c r="Q20" s="510"/>
      <c r="R20" s="509">
        <f t="shared" ref="R20:R23" si="4">IF(ISNUMBER(K20),ROUND((K20)*0.34,0),0)</f>
        <v>0</v>
      </c>
      <c r="S20" s="510"/>
      <c r="T20" s="510"/>
      <c r="U20" s="510"/>
      <c r="V20" s="510"/>
      <c r="W20" s="510"/>
      <c r="X20" s="511"/>
      <c r="Y20" s="509">
        <f>IF(K20&lt;&gt;0,IF(BP9=10,IF(K20*0.1&gt;=10000,10000,IF(K20*0.1&lt;=2300,2300,ROUND(K20*0.1,0))),IF(BP9=8,IF(K20*0.08&gt;=8000,8000,IF(K20*0.08&lt;=2000,2000,ROUND(K20*0.08,0))),IF(BP9=6,IF(K20*0.06&gt;=6000,6000,IF(K20*0.06&lt;=1500,1500,ROUND(K20*0.06,0))),IF(BP9=4,IF(K20*0.04&gt;=4000,4000,IF(K20*0.04&lt;=1200,1200,ROUND(K20*0.04,0))),0)))),0)</f>
        <v>0</v>
      </c>
      <c r="Z20" s="510"/>
      <c r="AA20" s="510"/>
      <c r="AB20" s="510"/>
      <c r="AC20" s="510"/>
      <c r="AD20" s="510"/>
      <c r="AE20" s="510"/>
      <c r="AF20" s="520">
        <f t="shared" si="1"/>
        <v>0</v>
      </c>
      <c r="AG20" s="521"/>
      <c r="AH20" s="521"/>
      <c r="AI20" s="521"/>
      <c r="AJ20" s="521"/>
      <c r="AK20" s="521"/>
      <c r="AL20" s="522"/>
      <c r="BJ20" s="21"/>
    </row>
    <row r="21" spans="2:74" ht="16.5" customHeight="1" x14ac:dyDescent="0.3">
      <c r="B21" s="233" t="s">
        <v>27</v>
      </c>
      <c r="C21" s="523"/>
      <c r="D21" s="523"/>
      <c r="E21" s="523"/>
      <c r="F21" s="523"/>
      <c r="G21" s="523"/>
      <c r="H21" s="517">
        <v>2024</v>
      </c>
      <c r="I21" s="518"/>
      <c r="J21" s="519"/>
      <c r="K21" s="509">
        <f>IF(K20&lt;&gt;0,K20,0)</f>
        <v>0</v>
      </c>
      <c r="L21" s="510"/>
      <c r="M21" s="510"/>
      <c r="N21" s="510"/>
      <c r="O21" s="510"/>
      <c r="P21" s="510"/>
      <c r="Q21" s="510"/>
      <c r="R21" s="509">
        <f t="shared" si="4"/>
        <v>0</v>
      </c>
      <c r="S21" s="510"/>
      <c r="T21" s="510"/>
      <c r="U21" s="510"/>
      <c r="V21" s="510"/>
      <c r="W21" s="510"/>
      <c r="X21" s="511"/>
      <c r="Y21" s="509">
        <f>IF(K21&lt;&gt;0,IF(BP9=10,IF(K21*0.1&gt;=10000,10000,IF(K21*0.1&lt;=2300,2300,ROUND(K21*0.1,0))),IF(BP9=8,IF(K21*0.08&gt;=8000,8000,IF(K21*0.08&lt;=2000,2000,ROUND(K21*0.08,0))),IF(BP9=6,IF(K21*0.06&gt;=6000,6000,IF(K21*0.06&lt;=1500,1500,ROUND(K21*0.06,0))),IF(BP9=4,IF(K21*0.04&gt;=4000,4000,IF(K21*0.04&lt;=1200,1200,ROUND(K21*0.04,0))),0)))),0)</f>
        <v>0</v>
      </c>
      <c r="Z21" s="510"/>
      <c r="AA21" s="510"/>
      <c r="AB21" s="510"/>
      <c r="AC21" s="510"/>
      <c r="AD21" s="510"/>
      <c r="AE21" s="510"/>
      <c r="AF21" s="520">
        <f t="shared" si="1"/>
        <v>0</v>
      </c>
      <c r="AG21" s="521"/>
      <c r="AH21" s="521"/>
      <c r="AI21" s="521"/>
      <c r="AJ21" s="521"/>
      <c r="AK21" s="521"/>
      <c r="AL21" s="522"/>
      <c r="BJ21" s="21"/>
      <c r="BR21" s="68"/>
      <c r="BS21" s="69"/>
      <c r="BT21" s="69"/>
    </row>
    <row r="22" spans="2:74" ht="16.5" customHeight="1" x14ac:dyDescent="0.45">
      <c r="B22" s="233" t="s">
        <v>26</v>
      </c>
      <c r="C22" s="523"/>
      <c r="D22" s="523"/>
      <c r="E22" s="523"/>
      <c r="F22" s="523"/>
      <c r="G22" s="523"/>
      <c r="H22" s="517">
        <v>2025</v>
      </c>
      <c r="I22" s="518"/>
      <c r="J22" s="519"/>
      <c r="K22" s="509">
        <f>IF('Basic Information'!Q12="January",IF(K12&lt;&gt;0,IF(BP7=10,IF(OR(K12&gt;=182400,MROUND(K12*1.03,100)&gt;=182400),182400,MROUND(K12*1.03,100)),IF(BP7=11,IF(OR(K12&gt;=205500,MROUND(K12*1.03,100)&gt;=205500),205500,MROUND(K12*1.03,100)),IF(BP7=12,IF(OR(K12&gt;=211500,MROUND(K12*1.03,100)&gt;=211500),211500,MROUND(K12*1.03,100)),IF(BP7=13,IF(OR(K12&gt;=217100,MROUND(K12*1.03,100)&gt;=217100),217100,MROUND(K12*1.03,100)),IF(OR(BP7=14,BP7=16),IF(OR(K12&gt;=218200,MROUND(K12*1.03,100)&gt;=218200),218200,MROUND(K12*1.03,100)),IF(BP7=15,IF(OR(K12&gt;=224100,MROUND(K12*1.03,100)&gt;=224100),224100, MROUND(K12*1.03,100)),0)))))),),IF(K21&lt;&gt;0,K21,0))</f>
        <v>0</v>
      </c>
      <c r="L22" s="510"/>
      <c r="M22" s="510"/>
      <c r="N22" s="510"/>
      <c r="O22" s="510"/>
      <c r="P22" s="510"/>
      <c r="Q22" s="510"/>
      <c r="R22" s="509">
        <f t="shared" si="4"/>
        <v>0</v>
      </c>
      <c r="S22" s="510"/>
      <c r="T22" s="510"/>
      <c r="U22" s="510"/>
      <c r="V22" s="510"/>
      <c r="W22" s="510"/>
      <c r="X22" s="511"/>
      <c r="Y22" s="509">
        <f>IF(K22&lt;&gt;0,IF(BP9=10,IF(K22*0.1&gt;=10000,10000,IF(K22*0.1&lt;=2300,2300,ROUND(K22*0.1,0))),IF(BP9=8,IF(K22*0.08&gt;=8000,8000,IF(K22*0.08&lt;=2000,2000,ROUND(K22*0.08,0))),IF(BP9=6,IF(K22*0.06&gt;=6000,6000,IF(K22*0.06&lt;=1500,1500,ROUND(K22*0.06,0))),IF(BP9=4,IF(K22*0.04&gt;=4000,4000,IF(K22*0.04&lt;=1200,1200,ROUND(K22*0.04,0))),0)))),0)</f>
        <v>0</v>
      </c>
      <c r="Z22" s="510"/>
      <c r="AA22" s="510"/>
      <c r="AB22" s="510"/>
      <c r="AC22" s="510"/>
      <c r="AD22" s="510"/>
      <c r="AE22" s="510"/>
      <c r="AF22" s="520">
        <f t="shared" si="1"/>
        <v>0</v>
      </c>
      <c r="AG22" s="521"/>
      <c r="AH22" s="521"/>
      <c r="AI22" s="521"/>
      <c r="AJ22" s="521"/>
      <c r="AK22" s="521"/>
      <c r="AL22" s="522"/>
      <c r="BJ22" s="21"/>
      <c r="BR22" s="70"/>
      <c r="BS22" s="70"/>
      <c r="BT22" s="70"/>
    </row>
    <row r="23" spans="2:74" ht="16.5" customHeight="1" x14ac:dyDescent="0.3">
      <c r="B23" s="233" t="s">
        <v>25</v>
      </c>
      <c r="C23" s="523"/>
      <c r="D23" s="523"/>
      <c r="E23" s="523"/>
      <c r="F23" s="523"/>
      <c r="G23" s="523"/>
      <c r="H23" s="517">
        <v>2025</v>
      </c>
      <c r="I23" s="518"/>
      <c r="J23" s="519"/>
      <c r="K23" s="509">
        <f>IF(K22&lt;&gt;0,K22,0)</f>
        <v>0</v>
      </c>
      <c r="L23" s="510"/>
      <c r="M23" s="510"/>
      <c r="N23" s="510"/>
      <c r="O23" s="510"/>
      <c r="P23" s="510"/>
      <c r="Q23" s="510"/>
      <c r="R23" s="509">
        <f t="shared" si="4"/>
        <v>0</v>
      </c>
      <c r="S23" s="510"/>
      <c r="T23" s="510"/>
      <c r="U23" s="510"/>
      <c r="V23" s="510"/>
      <c r="W23" s="510"/>
      <c r="X23" s="511"/>
      <c r="Y23" s="509">
        <f>IF(K23&lt;&gt;0,IF(BP9=10,IF(K23*0.1&gt;=10000,10000,IF(K23*0.1&lt;=2300,2300,ROUND(K23*0.1,0))),IF(BP9=8,IF(K23*0.08&gt;=8000,8000,IF(K23*0.08&lt;=2000,2000,ROUND(K23*0.08,0))),IF(BP9=6,IF(K23*0.06&gt;=6000,6000,IF(K23*0.06&lt;=1500,1500,ROUND(K23*0.06,0))),IF(BP9=4,IF(K23*0.04&gt;=4000,4000,IF(K23*0.04&lt;=1200,1200,ROUND(K23*0.04,0))),0)))),0)</f>
        <v>0</v>
      </c>
      <c r="Z23" s="510"/>
      <c r="AA23" s="510"/>
      <c r="AB23" s="510"/>
      <c r="AC23" s="510"/>
      <c r="AD23" s="510"/>
      <c r="AE23" s="510"/>
      <c r="AF23" s="520">
        <f t="shared" si="1"/>
        <v>0</v>
      </c>
      <c r="AG23" s="521"/>
      <c r="AH23" s="521"/>
      <c r="AI23" s="521"/>
      <c r="AJ23" s="521"/>
      <c r="AK23" s="521"/>
      <c r="AL23" s="522"/>
      <c r="BJ23" s="21"/>
    </row>
    <row r="24" spans="2:74" ht="16.5" customHeight="1" x14ac:dyDescent="0.3">
      <c r="B24" s="221" t="s">
        <v>4</v>
      </c>
      <c r="C24" s="227"/>
      <c r="D24" s="227"/>
      <c r="E24" s="227"/>
      <c r="F24" s="227"/>
      <c r="G24" s="227"/>
      <c r="H24" s="227"/>
      <c r="I24" s="227"/>
      <c r="J24" s="255"/>
      <c r="K24" s="509">
        <f>SUM(K12:K23)</f>
        <v>0</v>
      </c>
      <c r="L24" s="510"/>
      <c r="M24" s="510"/>
      <c r="N24" s="510"/>
      <c r="O24" s="510"/>
      <c r="P24" s="510"/>
      <c r="Q24" s="510"/>
      <c r="R24" s="509">
        <f>SUM(R12:R23)</f>
        <v>0</v>
      </c>
      <c r="S24" s="510"/>
      <c r="T24" s="510"/>
      <c r="U24" s="510"/>
      <c r="V24" s="510"/>
      <c r="W24" s="510"/>
      <c r="X24" s="511"/>
      <c r="Y24" s="509">
        <f>SUM(Y12:Y23)</f>
        <v>0</v>
      </c>
      <c r="Z24" s="510"/>
      <c r="AA24" s="510"/>
      <c r="AB24" s="510"/>
      <c r="AC24" s="510"/>
      <c r="AD24" s="510"/>
      <c r="AE24" s="510"/>
      <c r="AF24" s="238">
        <f>SUM(AF12:AF23)</f>
        <v>0</v>
      </c>
      <c r="AG24" s="512"/>
      <c r="AH24" s="512"/>
      <c r="AI24" s="512"/>
      <c r="AJ24" s="512"/>
      <c r="AK24" s="512"/>
      <c r="AL24" s="513"/>
      <c r="BJ24" s="21"/>
      <c r="BQ24" s="88"/>
      <c r="BR24" s="88"/>
      <c r="BS24" s="88"/>
      <c r="BT24" s="88"/>
      <c r="BU24" s="88"/>
      <c r="BV24" s="88"/>
    </row>
    <row r="25" spans="2:74" ht="8.1" customHeight="1" x14ac:dyDescent="0.3">
      <c r="B25" s="20"/>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J25" s="23"/>
      <c r="BQ25" s="88"/>
      <c r="BR25" s="88"/>
      <c r="BS25" s="88"/>
      <c r="BT25" s="88"/>
      <c r="BU25" s="88"/>
      <c r="BV25" s="88"/>
    </row>
    <row r="26" spans="2:74" s="12" customFormat="1" ht="18" customHeight="1" x14ac:dyDescent="0.25">
      <c r="B26" s="82"/>
      <c r="C26" s="219" t="s">
        <v>182</v>
      </c>
      <c r="D26" s="220"/>
      <c r="E26" s="220"/>
      <c r="F26" s="220"/>
      <c r="G26" s="220"/>
      <c r="H26" s="220"/>
      <c r="I26" s="220"/>
      <c r="J26" s="220"/>
      <c r="K26" s="220"/>
      <c r="L26" s="220"/>
      <c r="M26" s="220"/>
      <c r="N26" s="220"/>
      <c r="O26" s="220"/>
      <c r="P26" s="220"/>
      <c r="Q26" s="220"/>
      <c r="R26" s="220"/>
      <c r="S26" s="220"/>
      <c r="T26" s="220"/>
      <c r="U26" s="81" t="s">
        <v>5</v>
      </c>
      <c r="V26" s="186">
        <f>IF(ISNUMBER('Income Tax Proforma - Old Schem'!V26),'Income Tax Proforma - Old Schem'!V26,0)</f>
        <v>0</v>
      </c>
      <c r="W26" s="237"/>
      <c r="X26" s="237"/>
      <c r="Y26" s="237"/>
      <c r="Z26" s="237"/>
      <c r="AA26" s="237"/>
      <c r="AB26" s="237"/>
      <c r="AC26" s="237"/>
      <c r="AD26" s="237"/>
      <c r="AE26" s="237"/>
      <c r="AF26" s="271"/>
      <c r="AG26" s="272"/>
      <c r="AH26" s="219" t="s">
        <v>19</v>
      </c>
      <c r="AI26" s="220"/>
      <c r="AJ26" s="220"/>
      <c r="AK26" s="220"/>
      <c r="AL26" s="220"/>
      <c r="AM26" s="220"/>
      <c r="AN26" s="220"/>
      <c r="AO26" s="220"/>
      <c r="AP26" s="220"/>
      <c r="AQ26" s="220"/>
      <c r="AR26" s="220"/>
      <c r="AS26" s="220"/>
      <c r="AT26" s="220"/>
      <c r="AU26" s="220"/>
      <c r="AV26" s="220"/>
      <c r="AW26" s="220"/>
      <c r="AX26" s="220"/>
      <c r="AY26" s="220"/>
      <c r="AZ26" s="81" t="s">
        <v>5</v>
      </c>
      <c r="BA26" s="186">
        <f>IF(ISNUMBER('Income Tax Proforma - Old Schem'!BA26),'Income Tax Proforma - Old Schem'!BA26,0)</f>
        <v>0</v>
      </c>
      <c r="BB26" s="237"/>
      <c r="BC26" s="237"/>
      <c r="BD26" s="237"/>
      <c r="BE26" s="237"/>
      <c r="BF26" s="237"/>
      <c r="BG26" s="237"/>
      <c r="BH26" s="237"/>
      <c r="BI26" s="237"/>
      <c r="BJ26" s="237"/>
      <c r="BQ26" s="88"/>
      <c r="BR26" s="88"/>
      <c r="BS26" s="88"/>
      <c r="BT26" s="88"/>
      <c r="BU26" s="88"/>
      <c r="BV26" s="88"/>
    </row>
    <row r="27" spans="2:74" ht="8.1" customHeight="1" x14ac:dyDescent="0.3">
      <c r="B27" s="20"/>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J27" s="23"/>
      <c r="BQ27" s="88"/>
      <c r="BR27" s="88"/>
      <c r="BS27" s="88"/>
      <c r="BT27" s="88"/>
      <c r="BU27" s="88"/>
      <c r="BV27" s="88"/>
    </row>
    <row r="28" spans="2:74" s="12" customFormat="1" ht="18" customHeight="1" x14ac:dyDescent="0.25">
      <c r="B28" s="82"/>
      <c r="C28" s="219" t="s">
        <v>179</v>
      </c>
      <c r="D28" s="220"/>
      <c r="E28" s="220"/>
      <c r="F28" s="220"/>
      <c r="G28" s="220"/>
      <c r="H28" s="220"/>
      <c r="I28" s="220"/>
      <c r="J28" s="220"/>
      <c r="K28" s="220"/>
      <c r="L28" s="220"/>
      <c r="M28" s="220"/>
      <c r="N28" s="220"/>
      <c r="O28" s="220"/>
      <c r="P28" s="220"/>
      <c r="Q28" s="220"/>
      <c r="R28" s="220"/>
      <c r="S28" s="220"/>
      <c r="T28" s="220"/>
      <c r="U28" s="81" t="s">
        <v>5</v>
      </c>
      <c r="V28" s="186">
        <f>IF(ISNUMBER('Income Tax Proforma - Old Schem'!V28),'Income Tax Proforma - Old Schem'!V28,0)</f>
        <v>0</v>
      </c>
      <c r="W28" s="237"/>
      <c r="X28" s="237"/>
      <c r="Y28" s="237"/>
      <c r="Z28" s="237"/>
      <c r="AA28" s="237"/>
      <c r="AB28" s="237"/>
      <c r="AC28" s="237"/>
      <c r="AD28" s="237"/>
      <c r="AE28" s="237"/>
      <c r="AF28" s="271"/>
      <c r="AG28" s="272"/>
      <c r="AH28" s="219" t="str">
        <f>IF('Basic Information'!AN12="NPS","Employer's Contribution to NPS","")</f>
        <v/>
      </c>
      <c r="AI28" s="220"/>
      <c r="AJ28" s="220"/>
      <c r="AK28" s="220"/>
      <c r="AL28" s="220"/>
      <c r="AM28" s="220"/>
      <c r="AN28" s="220"/>
      <c r="AO28" s="220"/>
      <c r="AP28" s="220"/>
      <c r="AQ28" s="220"/>
      <c r="AR28" s="220"/>
      <c r="AS28" s="220"/>
      <c r="AT28" s="220"/>
      <c r="AU28" s="220"/>
      <c r="AV28" s="220"/>
      <c r="AW28" s="220"/>
      <c r="AX28" s="220"/>
      <c r="AY28" s="220"/>
      <c r="AZ28" s="81" t="str">
        <f>IF('Basic Information'!AN12="NPS",":","")</f>
        <v/>
      </c>
      <c r="BA28" s="186" t="str">
        <f>IF(AND('Basic Information'!AN12="NPS",ISNUMBER('Income Tax Proforma - Old Schem'!BA28)),'Income Tax Proforma - Old Schem'!BA28,"")</f>
        <v/>
      </c>
      <c r="BB28" s="237"/>
      <c r="BC28" s="237"/>
      <c r="BD28" s="237"/>
      <c r="BE28" s="237"/>
      <c r="BF28" s="237"/>
      <c r="BG28" s="237"/>
      <c r="BH28" s="237"/>
      <c r="BI28" s="237"/>
      <c r="BJ28" s="237"/>
      <c r="BQ28" s="88"/>
      <c r="BR28" s="88"/>
      <c r="BS28" s="88"/>
      <c r="BT28" s="88"/>
      <c r="BU28" s="88"/>
      <c r="BV28" s="88"/>
    </row>
    <row r="29" spans="2:74" ht="8.1" customHeight="1" x14ac:dyDescent="0.3">
      <c r="B29" s="20"/>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J29" s="21"/>
      <c r="BQ29" s="88"/>
      <c r="BR29" s="88"/>
      <c r="BS29" s="88"/>
      <c r="BT29" s="88"/>
      <c r="BU29" s="88"/>
      <c r="BV29" s="88"/>
    </row>
    <row r="30" spans="2:74" s="12" customFormat="1" ht="18" customHeight="1" x14ac:dyDescent="0.25">
      <c r="B30" s="82"/>
      <c r="C30" s="219" t="s">
        <v>199</v>
      </c>
      <c r="D30" s="220"/>
      <c r="E30" s="220"/>
      <c r="F30" s="220"/>
      <c r="G30" s="220"/>
      <c r="H30" s="220"/>
      <c r="I30" s="220"/>
      <c r="J30" s="220"/>
      <c r="K30" s="220"/>
      <c r="L30" s="220"/>
      <c r="M30" s="220"/>
      <c r="N30" s="220"/>
      <c r="O30" s="220"/>
      <c r="P30" s="220"/>
      <c r="Q30" s="220"/>
      <c r="R30" s="220"/>
      <c r="S30" s="220"/>
      <c r="T30" s="220"/>
      <c r="U30" s="86" t="s">
        <v>5</v>
      </c>
      <c r="V30" s="186">
        <f>IF(ISNUMBER('Income Tax Proforma - Old Schem'!V30),'Income Tax Proforma - Old Schem'!V30,0)</f>
        <v>0</v>
      </c>
      <c r="W30" s="237"/>
      <c r="X30" s="237"/>
      <c r="Y30" s="237"/>
      <c r="Z30" s="237"/>
      <c r="AA30" s="237"/>
      <c r="AB30" s="237"/>
      <c r="AC30" s="237"/>
      <c r="AD30" s="237"/>
      <c r="AE30" s="237"/>
      <c r="AF30" s="29"/>
      <c r="AG30" s="92"/>
      <c r="AH30" s="269" t="str">
        <f>IF('Basic Information'!AN12="NPS","NPS Arrear - Employer's Contribution to NPS","")</f>
        <v/>
      </c>
      <c r="AI30" s="270"/>
      <c r="AJ30" s="270"/>
      <c r="AK30" s="270"/>
      <c r="AL30" s="270"/>
      <c r="AM30" s="270"/>
      <c r="AN30" s="270"/>
      <c r="AO30" s="270"/>
      <c r="AP30" s="270"/>
      <c r="AQ30" s="270"/>
      <c r="AR30" s="270"/>
      <c r="AS30" s="270"/>
      <c r="AT30" s="270"/>
      <c r="AU30" s="270"/>
      <c r="AV30" s="270"/>
      <c r="AW30" s="270"/>
      <c r="AX30" s="270"/>
      <c r="AY30" s="270"/>
      <c r="AZ30" s="81" t="str">
        <f>IF('Basic Information'!AN12="NPS",":","")</f>
        <v/>
      </c>
      <c r="BA30" s="186" t="str">
        <f>IF(AND('Basic Information'!AN12="NPS",ISNUMBER('Income Tax Proforma - Old Schem'!BA30)),'Income Tax Proforma - Old Schem'!BA30,"")</f>
        <v/>
      </c>
      <c r="BB30" s="237"/>
      <c r="BC30" s="237"/>
      <c r="BD30" s="237"/>
      <c r="BE30" s="237"/>
      <c r="BF30" s="237"/>
      <c r="BG30" s="237"/>
      <c r="BH30" s="237"/>
      <c r="BI30" s="237"/>
      <c r="BJ30" s="237"/>
      <c r="BQ30" s="88"/>
      <c r="BR30" s="88"/>
      <c r="BS30" s="88"/>
      <c r="BT30" s="88"/>
      <c r="BU30" s="88"/>
      <c r="BV30" s="88"/>
    </row>
    <row r="31" spans="2:74" ht="8.1" customHeight="1" x14ac:dyDescent="0.3">
      <c r="B31" s="22"/>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8"/>
      <c r="BG31" s="18"/>
      <c r="BH31" s="18"/>
      <c r="BI31" s="18"/>
      <c r="BJ31" s="23"/>
      <c r="BQ31" s="88"/>
      <c r="BR31" s="88"/>
      <c r="BS31" s="88"/>
      <c r="BT31" s="88"/>
      <c r="BU31" s="88"/>
      <c r="BV31" s="88"/>
    </row>
    <row r="32" spans="2:74" ht="18" x14ac:dyDescent="0.3">
      <c r="B32" s="256" t="s">
        <v>89</v>
      </c>
      <c r="C32" s="257"/>
      <c r="D32" s="257"/>
      <c r="E32" s="257"/>
      <c r="F32" s="257"/>
      <c r="G32" s="257"/>
      <c r="H32" s="257"/>
      <c r="I32" s="257"/>
      <c r="J32" s="257"/>
      <c r="K32" s="257"/>
      <c r="L32" s="257"/>
      <c r="M32" s="257"/>
      <c r="N32" s="257"/>
      <c r="O32" s="257"/>
      <c r="P32" s="257"/>
      <c r="Q32" s="257"/>
      <c r="R32" s="257"/>
      <c r="S32" s="257"/>
      <c r="T32" s="257"/>
      <c r="U32" s="258"/>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6"/>
      <c r="BG32" s="16"/>
      <c r="BH32" s="16"/>
      <c r="BI32" s="16"/>
      <c r="BJ32" s="28"/>
      <c r="BQ32" s="88"/>
      <c r="BR32" s="88"/>
      <c r="BS32" s="88"/>
      <c r="BT32" s="88"/>
      <c r="BU32" s="88"/>
      <c r="BV32" s="88"/>
    </row>
    <row r="33" spans="2:74" ht="5.0999999999999996" customHeight="1" x14ac:dyDescent="0.3">
      <c r="B33" s="20"/>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J33" s="21"/>
    </row>
    <row r="34" spans="2:74" ht="18" customHeight="1" x14ac:dyDescent="0.3">
      <c r="B34" s="22"/>
      <c r="C34" s="514" t="s">
        <v>90</v>
      </c>
      <c r="D34" s="515"/>
      <c r="E34" s="515"/>
      <c r="F34" s="515"/>
      <c r="G34" s="515"/>
      <c r="H34" s="515"/>
      <c r="I34" s="515"/>
      <c r="J34" s="515"/>
      <c r="K34" s="515"/>
      <c r="L34" s="516"/>
      <c r="M34" s="81" t="s">
        <v>5</v>
      </c>
      <c r="N34" s="158">
        <f>IF(ISNUMBER('Income Tax Proforma - Old Schem'!N34),'Income Tax Proforma - Old Schem'!N34,0)</f>
        <v>0</v>
      </c>
      <c r="O34" s="159"/>
      <c r="P34" s="159"/>
      <c r="Q34" s="159"/>
      <c r="R34" s="159"/>
      <c r="S34" s="159"/>
      <c r="T34" s="159"/>
      <c r="U34" s="160"/>
      <c r="V34" s="17"/>
      <c r="W34" s="151" t="s">
        <v>201</v>
      </c>
      <c r="X34" s="152"/>
      <c r="Y34" s="152"/>
      <c r="Z34" s="152"/>
      <c r="AA34" s="152"/>
      <c r="AB34" s="152"/>
      <c r="AC34" s="152"/>
      <c r="AD34" s="152"/>
      <c r="AE34" s="152"/>
      <c r="AF34" s="153"/>
      <c r="AG34" s="81" t="s">
        <v>5</v>
      </c>
      <c r="AH34" s="158">
        <f>IF(ISNUMBER('Income Tax Proforma - Old Schem'!AH34),'Income Tax Proforma - Old Schem'!AH34,0)</f>
        <v>0</v>
      </c>
      <c r="AI34" s="159"/>
      <c r="AJ34" s="159"/>
      <c r="AK34" s="159"/>
      <c r="AL34" s="159"/>
      <c r="AM34" s="159"/>
      <c r="AN34" s="159"/>
      <c r="AO34" s="160"/>
      <c r="AP34" s="18"/>
      <c r="AQ34" s="151" t="s">
        <v>202</v>
      </c>
      <c r="AR34" s="152"/>
      <c r="AS34" s="152"/>
      <c r="AT34" s="152"/>
      <c r="AU34" s="152"/>
      <c r="AV34" s="152"/>
      <c r="AW34" s="152"/>
      <c r="AX34" s="152"/>
      <c r="AY34" s="152"/>
      <c r="AZ34" s="152"/>
      <c r="BA34" s="173"/>
      <c r="BB34" s="81" t="s">
        <v>5</v>
      </c>
      <c r="BC34" s="158">
        <f>IF(ISNUMBER('Income Tax Proforma - Old Schem'!BC34),'Income Tax Proforma - Old Schem'!BC34,0)</f>
        <v>0</v>
      </c>
      <c r="BD34" s="159"/>
      <c r="BE34" s="159"/>
      <c r="BF34" s="159"/>
      <c r="BG34" s="159"/>
      <c r="BH34" s="159"/>
      <c r="BI34" s="159"/>
      <c r="BJ34" s="160"/>
      <c r="BQ34" s="88"/>
      <c r="BR34" s="89"/>
      <c r="BS34" s="89"/>
      <c r="BT34" s="89"/>
      <c r="BU34" s="89"/>
      <c r="BV34" s="89"/>
    </row>
    <row r="35" spans="2:74" ht="8.1" customHeight="1" x14ac:dyDescent="0.3">
      <c r="B35" s="20"/>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J35" s="21"/>
      <c r="BQ35" s="87"/>
      <c r="BR35" s="87"/>
      <c r="BS35" s="87"/>
      <c r="BT35" s="87"/>
      <c r="BU35" s="87"/>
      <c r="BV35" s="87"/>
    </row>
    <row r="36" spans="2:74" s="12" customFormat="1" ht="15" customHeight="1" x14ac:dyDescent="0.25">
      <c r="B36" s="194" t="s">
        <v>185</v>
      </c>
      <c r="C36" s="195"/>
      <c r="D36" s="195"/>
      <c r="E36" s="195"/>
      <c r="F36" s="195"/>
      <c r="G36" s="195"/>
      <c r="H36" s="195"/>
      <c r="I36" s="195"/>
      <c r="J36" s="195"/>
      <c r="K36" s="195"/>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195"/>
      <c r="AI36" s="195"/>
      <c r="AJ36" s="195"/>
      <c r="AK36" s="195"/>
      <c r="AL36" s="195"/>
      <c r="AM36" s="195"/>
      <c r="AN36" s="195"/>
      <c r="AO36" s="195"/>
      <c r="AP36" s="195"/>
      <c r="AQ36" s="195"/>
      <c r="AR36" s="195"/>
      <c r="AS36" s="195"/>
      <c r="AT36" s="195"/>
      <c r="AU36" s="81" t="s">
        <v>5</v>
      </c>
      <c r="AV36" s="158">
        <f>IF('Basic Information'!AN12="NPS",SUM(AF24,V26,BA26,V28,BA28,V30,BA30,N34,AH34,BC34),SUM(AF24,V26,BA26,V28,V30,N34,AH34,BC34))</f>
        <v>0</v>
      </c>
      <c r="AW36" s="159"/>
      <c r="AX36" s="159"/>
      <c r="AY36" s="159"/>
      <c r="AZ36" s="159"/>
      <c r="BA36" s="159"/>
      <c r="BB36" s="159"/>
      <c r="BC36" s="159"/>
      <c r="BD36" s="159"/>
      <c r="BE36" s="159"/>
      <c r="BF36" s="159"/>
      <c r="BG36" s="159"/>
      <c r="BH36" s="159"/>
      <c r="BI36" s="159"/>
      <c r="BJ36" s="160"/>
    </row>
    <row r="37" spans="2:74" ht="6.9" customHeight="1" x14ac:dyDescent="0.3">
      <c r="B37" s="20"/>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J37" s="21"/>
      <c r="BQ37" s="87"/>
      <c r="BR37" s="87"/>
      <c r="BS37" s="87"/>
      <c r="BT37" s="87"/>
      <c r="BU37" s="87"/>
      <c r="BV37" s="87"/>
    </row>
    <row r="38" spans="2:74" s="12" customFormat="1" x14ac:dyDescent="0.25">
      <c r="B38" s="262" t="s">
        <v>178</v>
      </c>
      <c r="C38" s="257"/>
      <c r="D38" s="257"/>
      <c r="E38" s="257"/>
      <c r="F38" s="257"/>
      <c r="G38" s="257"/>
      <c r="H38" s="257"/>
      <c r="I38" s="257"/>
      <c r="J38" s="257"/>
      <c r="K38" s="257"/>
      <c r="L38" s="257"/>
      <c r="M38" s="257"/>
      <c r="N38" s="257"/>
      <c r="O38" s="257"/>
      <c r="P38" s="257"/>
      <c r="Q38" s="257"/>
      <c r="R38" s="257"/>
      <c r="S38" s="257"/>
      <c r="T38" s="257"/>
      <c r="U38" s="258"/>
      <c r="V38" s="263"/>
      <c r="W38" s="263"/>
      <c r="X38" s="263"/>
      <c r="Y38" s="263"/>
      <c r="Z38" s="263"/>
      <c r="AA38" s="263"/>
      <c r="AB38" s="263"/>
      <c r="AC38" s="263"/>
      <c r="AD38" s="263"/>
      <c r="AE38" s="263"/>
      <c r="AF38" s="263"/>
      <c r="AG38" s="263"/>
      <c r="AH38" s="263"/>
      <c r="AI38" s="263"/>
      <c r="AJ38" s="263"/>
      <c r="AK38" s="263"/>
      <c r="AL38" s="263"/>
      <c r="AM38" s="263"/>
      <c r="AN38" s="263"/>
      <c r="AO38" s="263"/>
      <c r="AP38" s="263"/>
      <c r="AQ38" s="263"/>
      <c r="AR38" s="263"/>
      <c r="AS38" s="263"/>
      <c r="AT38" s="263"/>
      <c r="AU38" s="263"/>
      <c r="AV38" s="263"/>
      <c r="AW38" s="263"/>
      <c r="AX38" s="263"/>
      <c r="AY38" s="263"/>
      <c r="AZ38" s="263"/>
      <c r="BA38" s="263"/>
      <c r="BB38" s="263"/>
      <c r="BC38" s="263"/>
      <c r="BD38" s="263"/>
      <c r="BE38" s="263"/>
      <c r="BF38" s="263"/>
      <c r="BG38" s="263"/>
      <c r="BH38" s="263"/>
      <c r="BI38" s="263"/>
      <c r="BJ38" s="264"/>
      <c r="BR38" s="29"/>
      <c r="BS38" s="29"/>
      <c r="BT38" s="29"/>
      <c r="BU38" s="29"/>
      <c r="BV38" s="29"/>
    </row>
    <row r="39" spans="2:74" ht="8.1" customHeight="1" x14ac:dyDescent="0.3">
      <c r="B39" s="20"/>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J39" s="21"/>
      <c r="BQ39" s="87"/>
      <c r="BR39" s="87"/>
      <c r="BS39" s="87"/>
      <c r="BT39" s="87"/>
      <c r="BU39" s="87"/>
      <c r="BV39" s="87"/>
    </row>
    <row r="40" spans="2:74" s="12" customFormat="1" x14ac:dyDescent="0.25">
      <c r="B40" s="20"/>
      <c r="C40" s="171" t="s">
        <v>198</v>
      </c>
      <c r="D40" s="172"/>
      <c r="E40" s="172"/>
      <c r="F40" s="172"/>
      <c r="G40" s="172"/>
      <c r="H40" s="172"/>
      <c r="I40" s="172"/>
      <c r="J40" s="172"/>
      <c r="K40" s="172"/>
      <c r="L40" s="172"/>
      <c r="M40" s="172"/>
      <c r="N40" s="172"/>
      <c r="O40" s="172"/>
      <c r="P40" s="172"/>
      <c r="Q40" s="172"/>
      <c r="R40" s="172"/>
      <c r="S40" s="172"/>
      <c r="T40" s="172"/>
      <c r="U40" s="172"/>
      <c r="V40" s="172"/>
      <c r="W40" s="172"/>
      <c r="X40" s="172"/>
      <c r="Y40" s="172"/>
      <c r="Z40" s="172"/>
      <c r="AA40" s="172"/>
      <c r="AB40" s="172"/>
      <c r="AC40" s="172"/>
      <c r="AD40" s="172"/>
      <c r="AE40" s="172"/>
      <c r="AF40" s="172"/>
      <c r="AG40" s="172"/>
      <c r="AH40" s="172"/>
      <c r="AI40" s="172"/>
      <c r="AJ40" s="173"/>
      <c r="AK40" s="161">
        <f>IF(ISNUMBER('Income Tax Proforma - Old Schem'!AK42),'Income Tax Proforma - Old Schem'!AK42,0)</f>
        <v>0</v>
      </c>
      <c r="AL40" s="496"/>
      <c r="AM40" s="496"/>
      <c r="AN40" s="496"/>
      <c r="AO40" s="496"/>
      <c r="AP40" s="496"/>
      <c r="AQ40" s="496"/>
      <c r="AR40" s="496"/>
      <c r="AS40" s="496"/>
      <c r="AT40" s="497"/>
      <c r="AU40" s="81" t="s">
        <v>5</v>
      </c>
      <c r="AV40" s="186">
        <f>IF(AK40&lt;&gt;0,IF(AK40&lt;=V28,AK40,V28),0)</f>
        <v>0</v>
      </c>
      <c r="AW40" s="186"/>
      <c r="AX40" s="186"/>
      <c r="AY40" s="186"/>
      <c r="AZ40" s="186"/>
      <c r="BA40" s="186"/>
      <c r="BB40" s="186"/>
      <c r="BC40" s="186"/>
      <c r="BD40" s="186"/>
      <c r="BE40" s="186"/>
      <c r="BF40" s="186"/>
      <c r="BG40" s="186"/>
      <c r="BH40" s="186"/>
      <c r="BI40" s="186"/>
      <c r="BJ40" s="186"/>
    </row>
    <row r="41" spans="2:74" ht="8.1" customHeight="1" x14ac:dyDescent="0.3">
      <c r="B41" s="20"/>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J41" s="21"/>
      <c r="BQ41" s="87"/>
      <c r="BR41" s="87"/>
      <c r="BS41" s="87"/>
      <c r="BT41" s="87"/>
      <c r="BU41" s="87"/>
      <c r="BV41" s="87"/>
    </row>
    <row r="42" spans="2:74" s="12" customFormat="1" ht="13.8" x14ac:dyDescent="0.25">
      <c r="B42" s="194" t="s">
        <v>175</v>
      </c>
      <c r="C42" s="195"/>
      <c r="D42" s="195"/>
      <c r="E42" s="195"/>
      <c r="F42" s="195"/>
      <c r="G42" s="195"/>
      <c r="H42" s="195"/>
      <c r="I42" s="195"/>
      <c r="J42" s="195"/>
      <c r="K42" s="195"/>
      <c r="L42" s="195"/>
      <c r="M42" s="195"/>
      <c r="N42" s="195"/>
      <c r="O42" s="195"/>
      <c r="P42" s="195"/>
      <c r="Q42" s="195"/>
      <c r="R42" s="195"/>
      <c r="S42" s="195"/>
      <c r="T42" s="195"/>
      <c r="U42" s="195"/>
      <c r="V42" s="195"/>
      <c r="W42" s="195"/>
      <c r="X42" s="195"/>
      <c r="Y42" s="195"/>
      <c r="Z42" s="195"/>
      <c r="AA42" s="195"/>
      <c r="AB42" s="195"/>
      <c r="AC42" s="195"/>
      <c r="AD42" s="195"/>
      <c r="AE42" s="195"/>
      <c r="AF42" s="195"/>
      <c r="AG42" s="195"/>
      <c r="AH42" s="195"/>
      <c r="AI42" s="195"/>
      <c r="AJ42" s="195"/>
      <c r="AK42" s="195"/>
      <c r="AL42" s="195"/>
      <c r="AM42" s="195"/>
      <c r="AN42" s="195"/>
      <c r="AO42" s="195"/>
      <c r="AP42" s="195"/>
      <c r="AQ42" s="195"/>
      <c r="AR42" s="195"/>
      <c r="AS42" s="195"/>
      <c r="AT42" s="195"/>
      <c r="AU42" s="81" t="s">
        <v>5</v>
      </c>
      <c r="AV42" s="186">
        <f>IF(AV36&gt;AV40,AV36-AV40,0)</f>
        <v>0</v>
      </c>
      <c r="AW42" s="186"/>
      <c r="AX42" s="186"/>
      <c r="AY42" s="186"/>
      <c r="AZ42" s="186"/>
      <c r="BA42" s="186"/>
      <c r="BB42" s="186"/>
      <c r="BC42" s="186"/>
      <c r="BD42" s="186"/>
      <c r="BE42" s="186"/>
      <c r="BF42" s="186"/>
      <c r="BG42" s="186"/>
      <c r="BH42" s="186"/>
      <c r="BI42" s="186"/>
      <c r="BJ42" s="186"/>
    </row>
    <row r="43" spans="2:74" ht="8.1" customHeight="1" x14ac:dyDescent="0.3">
      <c r="B43" s="20"/>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J43" s="21"/>
      <c r="BQ43" s="87"/>
      <c r="BR43" s="87"/>
      <c r="BS43" s="87"/>
      <c r="BT43" s="87"/>
      <c r="BU43" s="87"/>
      <c r="BV43" s="87"/>
    </row>
    <row r="44" spans="2:74" s="12" customFormat="1" ht="13.8" x14ac:dyDescent="0.25">
      <c r="B44" s="212" t="s">
        <v>91</v>
      </c>
      <c r="C44" s="169"/>
      <c r="D44" s="169"/>
      <c r="E44" s="169"/>
      <c r="F44" s="169"/>
      <c r="G44" s="169"/>
      <c r="H44" s="169"/>
      <c r="I44" s="169"/>
      <c r="J44" s="169"/>
      <c r="K44" s="169"/>
      <c r="L44" s="169"/>
      <c r="M44" s="169"/>
      <c r="N44" s="169"/>
      <c r="O44" s="169"/>
      <c r="P44" s="169"/>
      <c r="Q44" s="169"/>
      <c r="R44" s="169"/>
      <c r="S44" s="169"/>
      <c r="T44" s="169"/>
      <c r="U44" s="169"/>
      <c r="V44" s="169"/>
      <c r="W44" s="169"/>
      <c r="X44" s="169"/>
      <c r="Y44" s="169"/>
      <c r="Z44" s="169"/>
      <c r="AA44" s="169"/>
      <c r="AB44" s="169"/>
      <c r="AC44" s="169"/>
      <c r="AD44" s="169"/>
      <c r="AE44" s="169"/>
      <c r="AF44" s="169"/>
      <c r="AG44" s="169"/>
      <c r="AH44" s="169"/>
      <c r="AI44" s="169"/>
      <c r="AJ44" s="169"/>
      <c r="AK44" s="169"/>
      <c r="AL44" s="169"/>
      <c r="AM44" s="169"/>
      <c r="AN44" s="169"/>
      <c r="AO44" s="169"/>
      <c r="AP44" s="169"/>
      <c r="AQ44" s="169"/>
      <c r="AR44" s="169"/>
      <c r="AS44" s="169"/>
      <c r="AT44" s="169"/>
      <c r="AU44" s="19"/>
      <c r="AV44" s="19"/>
      <c r="AW44" s="19"/>
      <c r="AX44" s="19"/>
      <c r="AY44" s="19"/>
      <c r="AZ44" s="19"/>
      <c r="BA44" s="19"/>
      <c r="BB44" s="19"/>
      <c r="BC44" s="19"/>
      <c r="BD44" s="19"/>
      <c r="BE44" s="19"/>
      <c r="BF44" s="19"/>
      <c r="BG44" s="19"/>
      <c r="BH44" s="19"/>
      <c r="BI44" s="19"/>
      <c r="BJ44" s="45"/>
    </row>
    <row r="45" spans="2:74" s="12" customFormat="1" ht="3.9" customHeight="1" x14ac:dyDescent="0.25">
      <c r="B45" s="20"/>
      <c r="BJ45" s="26"/>
    </row>
    <row r="46" spans="2:74" s="12" customFormat="1" ht="13.8" x14ac:dyDescent="0.25">
      <c r="B46" s="56"/>
      <c r="C46" s="195" t="s">
        <v>176</v>
      </c>
      <c r="D46" s="195"/>
      <c r="E46" s="195"/>
      <c r="F46" s="195"/>
      <c r="G46" s="195"/>
      <c r="H46" s="195"/>
      <c r="I46" s="195"/>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c r="AM46" s="195"/>
      <c r="AN46" s="195"/>
      <c r="AO46" s="195"/>
      <c r="AP46" s="195"/>
      <c r="AQ46" s="195"/>
      <c r="AR46" s="195"/>
      <c r="AS46" s="195"/>
      <c r="AT46" s="195"/>
      <c r="AU46" s="81" t="s">
        <v>5</v>
      </c>
      <c r="AV46" s="186">
        <f>IF(AV42&lt;75000,AV42,75000)</f>
        <v>0</v>
      </c>
      <c r="AW46" s="186"/>
      <c r="AX46" s="186"/>
      <c r="AY46" s="186"/>
      <c r="AZ46" s="186"/>
      <c r="BA46" s="186"/>
      <c r="BB46" s="186"/>
      <c r="BC46" s="186"/>
      <c r="BD46" s="186"/>
      <c r="BE46" s="186"/>
      <c r="BF46" s="186"/>
      <c r="BG46" s="186"/>
      <c r="BH46" s="186"/>
      <c r="BI46" s="186"/>
      <c r="BJ46" s="186"/>
    </row>
    <row r="47" spans="2:74" ht="8.1" customHeight="1" x14ac:dyDescent="0.3">
      <c r="B47" s="20"/>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J47" s="21"/>
      <c r="BQ47" s="87"/>
      <c r="BR47" s="87"/>
      <c r="BS47" s="87"/>
      <c r="BT47" s="87"/>
      <c r="BU47" s="87"/>
      <c r="BV47" s="87"/>
    </row>
    <row r="48" spans="2:74" ht="18" customHeight="1" x14ac:dyDescent="0.3">
      <c r="B48" s="212" t="s">
        <v>219</v>
      </c>
      <c r="C48" s="172"/>
      <c r="D48" s="172"/>
      <c r="E48" s="172"/>
      <c r="F48" s="172"/>
      <c r="G48" s="172"/>
      <c r="H48" s="172"/>
      <c r="I48" s="172"/>
      <c r="J48" s="172"/>
      <c r="K48" s="172"/>
      <c r="L48" s="172"/>
      <c r="M48" s="172"/>
      <c r="N48" s="172"/>
      <c r="O48" s="172"/>
      <c r="P48" s="172"/>
      <c r="Q48" s="172"/>
      <c r="R48" s="172"/>
      <c r="S48" s="172"/>
      <c r="T48" s="172"/>
      <c r="U48" s="172"/>
      <c r="V48" s="172"/>
      <c r="W48" s="172"/>
      <c r="X48" s="172"/>
      <c r="Y48" s="172"/>
      <c r="Z48" s="172"/>
      <c r="AA48" s="172"/>
      <c r="AB48" s="172"/>
      <c r="AC48" s="172"/>
      <c r="AD48" s="172"/>
      <c r="AE48" s="172"/>
      <c r="AF48" s="172"/>
      <c r="AG48" s="172"/>
      <c r="AH48" s="172"/>
      <c r="AI48" s="172"/>
      <c r="AJ48" s="172"/>
      <c r="AK48" s="172"/>
      <c r="AL48" s="172"/>
      <c r="AM48" s="172"/>
      <c r="AN48" s="172"/>
      <c r="AO48" s="172"/>
      <c r="AP48" s="172"/>
      <c r="AQ48" s="172"/>
      <c r="AR48" s="172"/>
      <c r="AS48" s="172"/>
      <c r="AT48" s="173"/>
      <c r="AU48" s="81" t="s">
        <v>5</v>
      </c>
      <c r="AV48" s="158">
        <f>AV42-AV46</f>
        <v>0</v>
      </c>
      <c r="AW48" s="499"/>
      <c r="AX48" s="499"/>
      <c r="AY48" s="499"/>
      <c r="AZ48" s="499"/>
      <c r="BA48" s="499"/>
      <c r="BB48" s="499"/>
      <c r="BC48" s="499"/>
      <c r="BD48" s="499"/>
      <c r="BE48" s="499"/>
      <c r="BF48" s="499"/>
      <c r="BG48" s="499"/>
      <c r="BH48" s="499"/>
      <c r="BI48" s="499"/>
      <c r="BJ48" s="500"/>
      <c r="BQ48" s="87"/>
      <c r="BR48" s="87"/>
      <c r="BS48" s="87"/>
      <c r="BT48" s="87"/>
      <c r="BU48" s="87"/>
      <c r="BV48" s="87"/>
    </row>
    <row r="49" spans="2:74" ht="8.1" customHeight="1" x14ac:dyDescent="0.3">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row>
    <row r="50" spans="2:74" x14ac:dyDescent="0.3">
      <c r="B50" s="231" t="s">
        <v>220</v>
      </c>
      <c r="C50" s="263"/>
      <c r="D50" s="263"/>
      <c r="E50" s="263"/>
      <c r="F50" s="263"/>
      <c r="G50" s="263"/>
      <c r="H50" s="263"/>
      <c r="I50" s="263"/>
      <c r="J50" s="263"/>
      <c r="K50" s="263"/>
      <c r="L50" s="263"/>
      <c r="M50" s="263"/>
      <c r="N50" s="263"/>
      <c r="O50" s="263"/>
      <c r="P50" s="263"/>
      <c r="Q50" s="263"/>
      <c r="R50" s="263"/>
      <c r="S50" s="263"/>
      <c r="T50" s="263"/>
      <c r="U50" s="263"/>
      <c r="V50" s="263"/>
      <c r="W50" s="263"/>
      <c r="X50" s="263"/>
      <c r="Y50" s="263"/>
      <c r="Z50" s="263"/>
      <c r="AA50" s="263"/>
      <c r="AB50" s="263"/>
      <c r="AC50" s="263"/>
      <c r="AD50" s="263"/>
      <c r="AE50" s="263"/>
      <c r="AF50" s="263"/>
      <c r="AG50" s="263"/>
      <c r="AH50" s="263"/>
      <c r="AI50" s="263"/>
      <c r="AJ50" s="263"/>
      <c r="AK50" s="263"/>
      <c r="AL50" s="263"/>
      <c r="AM50" s="263"/>
      <c r="AN50" s="263"/>
      <c r="AO50" s="263"/>
      <c r="AP50" s="263"/>
      <c r="AQ50" s="263"/>
      <c r="AR50" s="263"/>
      <c r="AS50" s="263"/>
      <c r="AT50" s="263"/>
      <c r="AU50" s="15"/>
      <c r="AV50" s="15"/>
      <c r="AW50" s="15"/>
      <c r="AX50" s="15"/>
      <c r="AY50" s="15"/>
      <c r="AZ50" s="15"/>
      <c r="BA50" s="15"/>
      <c r="BB50" s="15"/>
      <c r="BC50" s="15"/>
      <c r="BD50" s="15"/>
      <c r="BE50" s="15"/>
      <c r="BF50" s="16"/>
      <c r="BG50" s="16"/>
      <c r="BH50" s="16"/>
      <c r="BI50" s="16"/>
      <c r="BJ50" s="28"/>
    </row>
    <row r="51" spans="2:74" ht="8.1" customHeight="1" x14ac:dyDescent="0.3">
      <c r="B51" s="20"/>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J51" s="21"/>
    </row>
    <row r="52" spans="2:74" x14ac:dyDescent="0.3">
      <c r="B52" s="20"/>
      <c r="C52" s="195" t="s">
        <v>154</v>
      </c>
      <c r="D52" s="220"/>
      <c r="E52" s="220"/>
      <c r="F52" s="220"/>
      <c r="G52" s="220"/>
      <c r="H52" s="220"/>
      <c r="I52" s="220"/>
      <c r="J52" s="220"/>
      <c r="K52" s="220"/>
      <c r="L52" s="220"/>
      <c r="M52" s="220"/>
      <c r="N52" s="220"/>
      <c r="O52" s="220"/>
      <c r="P52" s="220"/>
      <c r="Q52" s="220"/>
      <c r="R52" s="220"/>
      <c r="S52" s="220"/>
      <c r="T52" s="220"/>
      <c r="U52" s="220"/>
      <c r="V52" s="220"/>
      <c r="W52" s="220"/>
      <c r="X52" s="220"/>
      <c r="Y52" s="220"/>
      <c r="Z52" s="220"/>
      <c r="AA52" s="220"/>
      <c r="AB52" s="220"/>
      <c r="AC52" s="220"/>
      <c r="AD52" s="220"/>
      <c r="AE52" s="220"/>
      <c r="AF52" s="220"/>
      <c r="AG52" s="220"/>
      <c r="AH52" s="220"/>
      <c r="AI52" s="220"/>
      <c r="AJ52" s="220"/>
      <c r="AK52" s="220"/>
      <c r="AL52" s="220"/>
      <c r="AM52" s="220"/>
      <c r="AN52" s="220"/>
      <c r="AO52" s="220"/>
      <c r="AP52" s="220"/>
      <c r="AQ52" s="220"/>
      <c r="AR52" s="220"/>
      <c r="AS52" s="220"/>
      <c r="AT52" s="220"/>
      <c r="AU52" s="81" t="s">
        <v>5</v>
      </c>
      <c r="AV52" s="186">
        <f>IF(ISNUMBER('Income Tax Proforma - Old Schem'!AV66),'Income Tax Proforma - Old Schem'!AV66,0)</f>
        <v>0</v>
      </c>
      <c r="AW52" s="237"/>
      <c r="AX52" s="237"/>
      <c r="AY52" s="237"/>
      <c r="AZ52" s="237"/>
      <c r="BA52" s="237"/>
      <c r="BB52" s="237"/>
      <c r="BC52" s="237"/>
      <c r="BD52" s="237"/>
      <c r="BE52" s="237"/>
      <c r="BF52" s="237"/>
      <c r="BG52" s="237"/>
      <c r="BH52" s="237"/>
      <c r="BI52" s="237"/>
      <c r="BJ52" s="237"/>
    </row>
    <row r="53" spans="2:74" ht="8.1" customHeight="1" x14ac:dyDescent="0.3">
      <c r="B53" s="20"/>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J53" s="21"/>
    </row>
    <row r="54" spans="2:74" x14ac:dyDescent="0.3">
      <c r="B54" s="20"/>
      <c r="C54" s="195" t="s">
        <v>155</v>
      </c>
      <c r="D54" s="220"/>
      <c r="E54" s="220"/>
      <c r="F54" s="220"/>
      <c r="G54" s="220"/>
      <c r="H54" s="220"/>
      <c r="I54" s="220"/>
      <c r="J54" s="220"/>
      <c r="K54" s="220"/>
      <c r="L54" s="220"/>
      <c r="M54" s="220"/>
      <c r="N54" s="220"/>
      <c r="O54" s="220"/>
      <c r="P54" s="220"/>
      <c r="Q54" s="220"/>
      <c r="R54" s="220"/>
      <c r="S54" s="220"/>
      <c r="T54" s="220"/>
      <c r="U54" s="220"/>
      <c r="V54" s="220"/>
      <c r="W54" s="220"/>
      <c r="X54" s="220"/>
      <c r="Y54" s="220"/>
      <c r="Z54" s="220"/>
      <c r="AA54" s="220"/>
      <c r="AB54" s="220"/>
      <c r="AC54" s="220"/>
      <c r="AD54" s="220"/>
      <c r="AE54" s="220"/>
      <c r="AF54" s="220"/>
      <c r="AG54" s="220"/>
      <c r="AH54" s="220"/>
      <c r="AI54" s="220"/>
      <c r="AJ54" s="220"/>
      <c r="AK54" s="220"/>
      <c r="AL54" s="220"/>
      <c r="AM54" s="220"/>
      <c r="AN54" s="220"/>
      <c r="AO54" s="220"/>
      <c r="AP54" s="220"/>
      <c r="AQ54" s="220"/>
      <c r="AR54" s="220"/>
      <c r="AS54" s="220"/>
      <c r="AT54" s="220"/>
      <c r="AU54" s="81" t="s">
        <v>5</v>
      </c>
      <c r="AV54" s="186">
        <f>IF(ISNUMBER('Income Tax Proforma - Old Schem'!AV68),'Income Tax Proforma - Old Schem'!AV68,0)</f>
        <v>0</v>
      </c>
      <c r="AW54" s="237"/>
      <c r="AX54" s="237"/>
      <c r="AY54" s="237"/>
      <c r="AZ54" s="237"/>
      <c r="BA54" s="237"/>
      <c r="BB54" s="237"/>
      <c r="BC54" s="237"/>
      <c r="BD54" s="237"/>
      <c r="BE54" s="237"/>
      <c r="BF54" s="237"/>
      <c r="BG54" s="237"/>
      <c r="BH54" s="237"/>
      <c r="BI54" s="237"/>
      <c r="BJ54" s="237"/>
    </row>
    <row r="55" spans="2:74" ht="8.1" customHeight="1" x14ac:dyDescent="0.3">
      <c r="B55" s="20"/>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J55" s="21"/>
    </row>
    <row r="56" spans="2:74" x14ac:dyDescent="0.3">
      <c r="B56" s="20"/>
      <c r="C56" s="195" t="s">
        <v>96</v>
      </c>
      <c r="D56" s="220"/>
      <c r="E56" s="220"/>
      <c r="F56" s="220"/>
      <c r="G56" s="220"/>
      <c r="H56" s="220"/>
      <c r="I56" s="220"/>
      <c r="J56" s="220"/>
      <c r="K56" s="220"/>
      <c r="L56" s="220"/>
      <c r="M56" s="220"/>
      <c r="N56" s="220"/>
      <c r="O56" s="220"/>
      <c r="P56" s="220"/>
      <c r="Q56" s="220"/>
      <c r="R56" s="220"/>
      <c r="S56" s="220"/>
      <c r="T56" s="220"/>
      <c r="U56" s="220"/>
      <c r="V56" s="220"/>
      <c r="W56" s="220"/>
      <c r="X56" s="220"/>
      <c r="Y56" s="220"/>
      <c r="Z56" s="220"/>
      <c r="AA56" s="220"/>
      <c r="AB56" s="220"/>
      <c r="AC56" s="220"/>
      <c r="AD56" s="220"/>
      <c r="AE56" s="220"/>
      <c r="AF56" s="220"/>
      <c r="AG56" s="220"/>
      <c r="AH56" s="220"/>
      <c r="AI56" s="220"/>
      <c r="AJ56" s="220"/>
      <c r="AK56" s="220"/>
      <c r="AL56" s="220"/>
      <c r="AM56" s="220"/>
      <c r="AN56" s="220"/>
      <c r="AO56" s="220"/>
      <c r="AP56" s="220"/>
      <c r="AQ56" s="220"/>
      <c r="AR56" s="220"/>
      <c r="AS56" s="220"/>
      <c r="AT56" s="220"/>
      <c r="AU56" s="81" t="s">
        <v>5</v>
      </c>
      <c r="AV56" s="186">
        <f>IF(ISNUMBER('Income Tax Proforma - Old Schem'!AV70),'Income Tax Proforma - Old Schem'!AV70,0)</f>
        <v>0</v>
      </c>
      <c r="AW56" s="237"/>
      <c r="AX56" s="237"/>
      <c r="AY56" s="237"/>
      <c r="AZ56" s="237"/>
      <c r="BA56" s="237"/>
      <c r="BB56" s="237"/>
      <c r="BC56" s="237"/>
      <c r="BD56" s="237"/>
      <c r="BE56" s="237"/>
      <c r="BF56" s="237"/>
      <c r="BG56" s="237"/>
      <c r="BH56" s="237"/>
      <c r="BI56" s="237"/>
      <c r="BJ56" s="237"/>
    </row>
    <row r="57" spans="2:74" ht="8.1" customHeight="1" x14ac:dyDescent="0.3">
      <c r="B57" s="20"/>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J57" s="21"/>
    </row>
    <row r="58" spans="2:74" x14ac:dyDescent="0.3">
      <c r="B58" s="22"/>
      <c r="C58" s="195" t="s">
        <v>97</v>
      </c>
      <c r="D58" s="220"/>
      <c r="E58" s="220"/>
      <c r="F58" s="220"/>
      <c r="G58" s="220"/>
      <c r="H58" s="220"/>
      <c r="I58" s="220"/>
      <c r="J58" s="220"/>
      <c r="K58" s="220"/>
      <c r="L58" s="220"/>
      <c r="M58" s="220"/>
      <c r="N58" s="220"/>
      <c r="O58" s="220"/>
      <c r="P58" s="220"/>
      <c r="Q58" s="220"/>
      <c r="R58" s="220"/>
      <c r="S58" s="220"/>
      <c r="T58" s="220"/>
      <c r="U58" s="220"/>
      <c r="V58" s="220"/>
      <c r="W58" s="220"/>
      <c r="X58" s="220"/>
      <c r="Y58" s="220"/>
      <c r="Z58" s="220"/>
      <c r="AA58" s="220"/>
      <c r="AB58" s="220"/>
      <c r="AC58" s="220"/>
      <c r="AD58" s="220"/>
      <c r="AE58" s="220"/>
      <c r="AF58" s="220"/>
      <c r="AG58" s="220"/>
      <c r="AH58" s="220"/>
      <c r="AI58" s="220"/>
      <c r="AJ58" s="220"/>
      <c r="AK58" s="220"/>
      <c r="AL58" s="220"/>
      <c r="AM58" s="220"/>
      <c r="AN58" s="220"/>
      <c r="AO58" s="220"/>
      <c r="AP58" s="220"/>
      <c r="AQ58" s="220"/>
      <c r="AR58" s="220"/>
      <c r="AS58" s="220"/>
      <c r="AT58" s="220"/>
      <c r="AU58" s="81" t="s">
        <v>5</v>
      </c>
      <c r="AV58" s="186">
        <f>IF(ISNUMBER('Income Tax Proforma - Old Schem'!AV72),'Income Tax Proforma - Old Schem'!AV72,0)</f>
        <v>0</v>
      </c>
      <c r="AW58" s="237"/>
      <c r="AX58" s="237"/>
      <c r="AY58" s="237"/>
      <c r="AZ58" s="237"/>
      <c r="BA58" s="237"/>
      <c r="BB58" s="237"/>
      <c r="BC58" s="237"/>
      <c r="BD58" s="237"/>
      <c r="BE58" s="237"/>
      <c r="BF58" s="237"/>
      <c r="BG58" s="237"/>
      <c r="BH58" s="237"/>
      <c r="BI58" s="237"/>
      <c r="BJ58" s="237"/>
    </row>
    <row r="59" spans="2:74" ht="8.1" customHeight="1" x14ac:dyDescent="0.3">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row>
    <row r="60" spans="2:74" ht="20.100000000000001" customHeight="1" x14ac:dyDescent="0.3">
      <c r="B60" s="194" t="s">
        <v>221</v>
      </c>
      <c r="C60" s="220"/>
      <c r="D60" s="220"/>
      <c r="E60" s="220"/>
      <c r="F60" s="220"/>
      <c r="G60" s="220"/>
      <c r="H60" s="220"/>
      <c r="I60" s="220"/>
      <c r="J60" s="220"/>
      <c r="K60" s="220"/>
      <c r="L60" s="220"/>
      <c r="M60" s="220"/>
      <c r="N60" s="220"/>
      <c r="O60" s="220"/>
      <c r="P60" s="220"/>
      <c r="Q60" s="220"/>
      <c r="R60" s="220"/>
      <c r="S60" s="220"/>
      <c r="T60" s="220"/>
      <c r="U60" s="220"/>
      <c r="V60" s="220"/>
      <c r="W60" s="220"/>
      <c r="X60" s="220"/>
      <c r="Y60" s="220"/>
      <c r="Z60" s="220"/>
      <c r="AA60" s="220"/>
      <c r="AB60" s="220"/>
      <c r="AC60" s="220"/>
      <c r="AD60" s="220"/>
      <c r="AE60" s="220"/>
      <c r="AF60" s="220"/>
      <c r="AG60" s="220"/>
      <c r="AH60" s="220"/>
      <c r="AI60" s="220"/>
      <c r="AJ60" s="220"/>
      <c r="AK60" s="220"/>
      <c r="AL60" s="220"/>
      <c r="AM60" s="220"/>
      <c r="AN60" s="220"/>
      <c r="AO60" s="220"/>
      <c r="AP60" s="220"/>
      <c r="AQ60" s="220"/>
      <c r="AR60" s="220"/>
      <c r="AS60" s="220"/>
      <c r="AT60" s="220"/>
      <c r="AU60" s="81" t="s">
        <v>5</v>
      </c>
      <c r="AV60" s="186">
        <f>SUM(AV48,AV52,AV54,AV56,AV58)</f>
        <v>0</v>
      </c>
      <c r="AW60" s="237"/>
      <c r="AX60" s="237"/>
      <c r="AY60" s="237"/>
      <c r="AZ60" s="237"/>
      <c r="BA60" s="237"/>
      <c r="BB60" s="237"/>
      <c r="BC60" s="237"/>
      <c r="BD60" s="237"/>
      <c r="BE60" s="237"/>
      <c r="BF60" s="237"/>
      <c r="BG60" s="237"/>
      <c r="BH60" s="237"/>
      <c r="BI60" s="237"/>
      <c r="BJ60" s="237"/>
    </row>
    <row r="61" spans="2:74" ht="8.1" customHeight="1" x14ac:dyDescent="0.3">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row>
    <row r="62" spans="2:74" ht="30" customHeight="1" x14ac:dyDescent="0.3">
      <c r="B62" s="502" t="s">
        <v>222</v>
      </c>
      <c r="C62" s="503"/>
      <c r="D62" s="503"/>
      <c r="E62" s="503"/>
      <c r="F62" s="503"/>
      <c r="G62" s="503"/>
      <c r="H62" s="503"/>
      <c r="I62" s="503"/>
      <c r="J62" s="503"/>
      <c r="K62" s="503"/>
      <c r="L62" s="503"/>
      <c r="M62" s="503"/>
      <c r="N62" s="503"/>
      <c r="O62" s="503"/>
      <c r="P62" s="503"/>
      <c r="Q62" s="503"/>
      <c r="R62" s="503"/>
      <c r="S62" s="503"/>
      <c r="T62" s="503"/>
      <c r="U62" s="503"/>
      <c r="V62" s="503"/>
      <c r="W62" s="503"/>
      <c r="X62" s="503"/>
      <c r="Y62" s="503"/>
      <c r="Z62" s="503"/>
      <c r="AA62" s="503"/>
      <c r="AB62" s="503"/>
      <c r="AC62" s="503"/>
      <c r="AD62" s="503"/>
      <c r="AE62" s="503"/>
      <c r="AF62" s="503"/>
      <c r="AG62" s="503"/>
      <c r="AH62" s="503"/>
      <c r="AI62" s="503"/>
      <c r="AJ62" s="188" t="s">
        <v>104</v>
      </c>
      <c r="AK62" s="482"/>
      <c r="AL62" s="482"/>
      <c r="AM62" s="482"/>
      <c r="AN62" s="482"/>
      <c r="AO62" s="482"/>
      <c r="AP62" s="482"/>
      <c r="AQ62" s="482"/>
      <c r="AR62" s="482"/>
      <c r="AS62" s="482"/>
      <c r="AT62" s="482"/>
      <c r="AU62" s="482"/>
      <c r="AV62" s="188" t="s">
        <v>105</v>
      </c>
      <c r="AW62" s="482"/>
      <c r="AX62" s="482"/>
      <c r="AY62" s="482"/>
      <c r="AZ62" s="482"/>
      <c r="BA62" s="482"/>
      <c r="BB62" s="482"/>
      <c r="BC62" s="482"/>
      <c r="BD62" s="482"/>
      <c r="BE62" s="482"/>
      <c r="BF62" s="482"/>
      <c r="BG62" s="482"/>
      <c r="BH62" s="482"/>
      <c r="BI62" s="482"/>
      <c r="BJ62" s="482"/>
    </row>
    <row r="63" spans="2:74" ht="8.1" customHeight="1" x14ac:dyDescent="0.3">
      <c r="B63" s="20"/>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J63" s="21"/>
      <c r="BL63" s="327" t="str">
        <f>IF(AND(AV64&lt;&gt;0,AJ64&gt;AV64),"The maximum allowed limit for deduction u/s 80CCD(2) is ten per cent of the salary (Basic Pay+DA) received in the previous year. ","")</f>
        <v/>
      </c>
      <c r="BM63" s="327"/>
      <c r="BN63" s="327"/>
      <c r="BO63" s="327"/>
      <c r="BP63" s="327"/>
      <c r="BQ63" s="327"/>
      <c r="BR63" s="327"/>
      <c r="BS63" s="327"/>
      <c r="BT63" s="327"/>
      <c r="BU63" s="327"/>
      <c r="BV63" s="327"/>
    </row>
    <row r="64" spans="2:74" ht="27.6" customHeight="1" x14ac:dyDescent="0.3">
      <c r="B64" s="20"/>
      <c r="C64" s="183" t="s">
        <v>148</v>
      </c>
      <c r="D64" s="504"/>
      <c r="E64" s="504"/>
      <c r="F64" s="504"/>
      <c r="G64" s="504"/>
      <c r="H64" s="504"/>
      <c r="I64" s="504"/>
      <c r="J64" s="504"/>
      <c r="K64" s="504"/>
      <c r="L64" s="504"/>
      <c r="M64" s="504"/>
      <c r="N64" s="504"/>
      <c r="O64" s="504"/>
      <c r="P64" s="504"/>
      <c r="Q64" s="504"/>
      <c r="R64" s="504"/>
      <c r="S64" s="504"/>
      <c r="T64" s="504"/>
      <c r="U64" s="504"/>
      <c r="V64" s="504"/>
      <c r="W64" s="504"/>
      <c r="X64" s="504"/>
      <c r="Y64" s="504"/>
      <c r="Z64" s="504"/>
      <c r="AA64" s="504"/>
      <c r="AB64" s="504"/>
      <c r="AC64" s="504"/>
      <c r="AD64" s="504"/>
      <c r="AE64" s="504"/>
      <c r="AF64" s="504"/>
      <c r="AG64" s="504"/>
      <c r="AH64" s="505"/>
      <c r="AI64" s="81" t="s">
        <v>5</v>
      </c>
      <c r="AJ64" s="187">
        <f>IF('Basic Information'!AN12="NPS",IF(ISNUMBER(BA30),SUM(BA28,BA30),BA28),0)</f>
        <v>0</v>
      </c>
      <c r="AK64" s="506"/>
      <c r="AL64" s="506"/>
      <c r="AM64" s="506"/>
      <c r="AN64" s="506"/>
      <c r="AO64" s="506"/>
      <c r="AP64" s="506"/>
      <c r="AQ64" s="506"/>
      <c r="AR64" s="506"/>
      <c r="AS64" s="506"/>
      <c r="AT64" s="482"/>
      <c r="AU64" s="482"/>
      <c r="AV64" s="186">
        <f>IF(AND(SUM(K24,R24)&lt;&gt;0,AJ64&lt;&gt;0),BA28,0)</f>
        <v>0</v>
      </c>
      <c r="AW64" s="237"/>
      <c r="AX64" s="237"/>
      <c r="AY64" s="237"/>
      <c r="AZ64" s="237"/>
      <c r="BA64" s="237"/>
      <c r="BB64" s="237"/>
      <c r="BC64" s="237"/>
      <c r="BD64" s="237"/>
      <c r="BE64" s="237"/>
      <c r="BF64" s="237"/>
      <c r="BG64" s="237"/>
      <c r="BH64" s="237"/>
      <c r="BI64" s="237"/>
      <c r="BJ64" s="237"/>
      <c r="BL64" s="327"/>
      <c r="BM64" s="327"/>
      <c r="BN64" s="327"/>
      <c r="BO64" s="327"/>
      <c r="BP64" s="327"/>
      <c r="BQ64" s="327"/>
      <c r="BR64" s="327"/>
      <c r="BS64" s="327"/>
      <c r="BT64" s="327"/>
      <c r="BU64" s="327"/>
      <c r="BV64" s="327"/>
    </row>
    <row r="65" spans="2:74" ht="8.1" customHeight="1" x14ac:dyDescent="0.3">
      <c r="B65" s="20"/>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J65" s="21"/>
      <c r="BL65" s="327"/>
      <c r="BM65" s="327"/>
      <c r="BN65" s="327"/>
      <c r="BO65" s="327"/>
      <c r="BP65" s="327"/>
      <c r="BQ65" s="327"/>
      <c r="BR65" s="327"/>
      <c r="BS65" s="327"/>
      <c r="BT65" s="327"/>
      <c r="BU65" s="327"/>
      <c r="BV65" s="327"/>
    </row>
    <row r="66" spans="2:74" x14ac:dyDescent="0.3">
      <c r="B66" s="22"/>
      <c r="C66" s="288" t="s">
        <v>114</v>
      </c>
      <c r="D66" s="507"/>
      <c r="E66" s="507"/>
      <c r="F66" s="507"/>
      <c r="G66" s="507"/>
      <c r="H66" s="507"/>
      <c r="I66" s="507"/>
      <c r="J66" s="507"/>
      <c r="K66" s="507"/>
      <c r="L66" s="507"/>
      <c r="M66" s="507"/>
      <c r="N66" s="507"/>
      <c r="O66" s="507"/>
      <c r="P66" s="507"/>
      <c r="Q66" s="507"/>
      <c r="R66" s="507"/>
      <c r="S66" s="507"/>
      <c r="T66" s="507"/>
      <c r="U66" s="507"/>
      <c r="V66" s="507"/>
      <c r="W66" s="507"/>
      <c r="X66" s="507"/>
      <c r="Y66" s="507"/>
      <c r="Z66" s="507"/>
      <c r="AA66" s="507"/>
      <c r="AB66" s="507"/>
      <c r="AC66" s="507"/>
      <c r="AD66" s="507"/>
      <c r="AE66" s="507"/>
      <c r="AF66" s="507"/>
      <c r="AG66" s="507"/>
      <c r="AH66" s="508"/>
      <c r="AI66" s="81" t="s">
        <v>5</v>
      </c>
      <c r="AJ66" s="161">
        <f>SUM(AJ64)</f>
        <v>0</v>
      </c>
      <c r="AK66" s="496"/>
      <c r="AL66" s="496"/>
      <c r="AM66" s="496"/>
      <c r="AN66" s="496"/>
      <c r="AO66" s="496"/>
      <c r="AP66" s="496"/>
      <c r="AQ66" s="496"/>
      <c r="AR66" s="496"/>
      <c r="AS66" s="497"/>
      <c r="AT66" s="482"/>
      <c r="AU66" s="482"/>
      <c r="AV66" s="158">
        <f>SUM(AV64)</f>
        <v>0</v>
      </c>
      <c r="AW66" s="499"/>
      <c r="AX66" s="499"/>
      <c r="AY66" s="499"/>
      <c r="AZ66" s="499"/>
      <c r="BA66" s="499"/>
      <c r="BB66" s="499"/>
      <c r="BC66" s="499"/>
      <c r="BD66" s="499"/>
      <c r="BE66" s="499"/>
      <c r="BF66" s="499"/>
      <c r="BG66" s="499"/>
      <c r="BH66" s="499"/>
      <c r="BI66" s="499"/>
      <c r="BJ66" s="500"/>
    </row>
    <row r="67" spans="2:74" ht="8.1" customHeight="1" x14ac:dyDescent="0.3">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row>
    <row r="68" spans="2:74" ht="18" customHeight="1" x14ac:dyDescent="0.3">
      <c r="B68" s="212" t="s">
        <v>224</v>
      </c>
      <c r="C68" s="172"/>
      <c r="D68" s="172"/>
      <c r="E68" s="172"/>
      <c r="F68" s="172"/>
      <c r="G68" s="172"/>
      <c r="H68" s="172"/>
      <c r="I68" s="172"/>
      <c r="J68" s="172"/>
      <c r="K68" s="172"/>
      <c r="L68" s="172"/>
      <c r="M68" s="172"/>
      <c r="N68" s="172"/>
      <c r="O68" s="172"/>
      <c r="P68" s="172"/>
      <c r="Q68" s="172"/>
      <c r="R68" s="172"/>
      <c r="S68" s="172"/>
      <c r="T68" s="172"/>
      <c r="U68" s="172"/>
      <c r="V68" s="172"/>
      <c r="W68" s="172"/>
      <c r="X68" s="172"/>
      <c r="Y68" s="172"/>
      <c r="Z68" s="172"/>
      <c r="AA68" s="172"/>
      <c r="AB68" s="172"/>
      <c r="AC68" s="172"/>
      <c r="AD68" s="172"/>
      <c r="AE68" s="172"/>
      <c r="AF68" s="172"/>
      <c r="AG68" s="172"/>
      <c r="AH68" s="172"/>
      <c r="AI68" s="172"/>
      <c r="AJ68" s="172"/>
      <c r="AK68" s="172"/>
      <c r="AL68" s="172"/>
      <c r="AM68" s="172"/>
      <c r="AN68" s="172"/>
      <c r="AO68" s="172"/>
      <c r="AP68" s="172"/>
      <c r="AQ68" s="172"/>
      <c r="AR68" s="172"/>
      <c r="AS68" s="172"/>
      <c r="AT68" s="173"/>
      <c r="AU68" s="81" t="s">
        <v>5</v>
      </c>
      <c r="AV68" s="158">
        <f>IF(AV60&gt;AV66,MROUND(ABS(AV60-AV66), 10),0)</f>
        <v>0</v>
      </c>
      <c r="AW68" s="499"/>
      <c r="AX68" s="499"/>
      <c r="AY68" s="499"/>
      <c r="AZ68" s="499"/>
      <c r="BA68" s="499"/>
      <c r="BB68" s="499"/>
      <c r="BC68" s="499"/>
      <c r="BD68" s="499"/>
      <c r="BE68" s="499"/>
      <c r="BF68" s="499"/>
      <c r="BG68" s="499"/>
      <c r="BH68" s="499"/>
      <c r="BI68" s="499"/>
      <c r="BJ68" s="500"/>
      <c r="BP68" s="535" t="str">
        <f>IF(AND(AV68&gt;=5000000, AV68&lt;=10000000),"You need to pay surcharge on the amount of income tax at 10% rate in addition to tax shown below.",IF(AND(AV68&gt;10000000, AV68&lt;=20000000),"You need to pay surcharge on the amount of income tax at 15% rate in addition to tax shown below.",IF(AV68&gt;20000000,"You need to pay surcharge on the amount of income tax at 25% rate in addition to tax shown below.","")))</f>
        <v/>
      </c>
      <c r="BQ68" s="322"/>
      <c r="BR68" s="322"/>
      <c r="BS68" s="322"/>
      <c r="BT68" s="322"/>
      <c r="BU68" s="322"/>
      <c r="BV68" s="322"/>
    </row>
    <row r="69" spans="2:74" ht="8.1" customHeight="1" x14ac:dyDescent="0.3">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P69" s="322"/>
      <c r="BQ69" s="322"/>
      <c r="BR69" s="322"/>
      <c r="BS69" s="322"/>
      <c r="BT69" s="322"/>
      <c r="BU69" s="322"/>
      <c r="BV69" s="322"/>
    </row>
    <row r="70" spans="2:74" x14ac:dyDescent="0.3">
      <c r="B70" s="212" t="s">
        <v>223</v>
      </c>
      <c r="C70" s="172"/>
      <c r="D70" s="172"/>
      <c r="E70" s="172"/>
      <c r="F70" s="172"/>
      <c r="G70" s="172"/>
      <c r="H70" s="172"/>
      <c r="I70" s="172"/>
      <c r="J70" s="172"/>
      <c r="K70" s="172"/>
      <c r="L70" s="172"/>
      <c r="M70" s="172"/>
      <c r="N70" s="172"/>
      <c r="O70" s="172"/>
      <c r="P70" s="172"/>
      <c r="Q70" s="172"/>
      <c r="R70" s="172"/>
      <c r="S70" s="172"/>
      <c r="T70" s="172"/>
      <c r="U70" s="172"/>
      <c r="V70" s="172"/>
      <c r="W70" s="172"/>
      <c r="X70" s="172"/>
      <c r="Y70" s="172"/>
      <c r="Z70" s="172"/>
      <c r="AA70" s="172"/>
      <c r="AB70" s="172"/>
      <c r="AC70" s="172"/>
      <c r="AD70" s="172"/>
      <c r="AE70" s="172"/>
      <c r="AF70" s="172"/>
      <c r="AG70" s="172"/>
      <c r="AH70" s="172"/>
      <c r="AI70" s="172"/>
      <c r="AJ70" s="172"/>
      <c r="AK70" s="172"/>
      <c r="AL70" s="172"/>
      <c r="AM70" s="172"/>
      <c r="AN70" s="172"/>
      <c r="AO70" s="172"/>
      <c r="AP70" s="172"/>
      <c r="AQ70" s="172"/>
      <c r="AR70" s="172"/>
      <c r="AS70" s="172"/>
      <c r="AT70" s="172"/>
      <c r="AU70" s="172"/>
      <c r="AV70" s="172"/>
      <c r="AW70" s="172"/>
      <c r="AX70" s="172"/>
      <c r="AY70" s="172"/>
      <c r="AZ70" s="172"/>
      <c r="BA70" s="172"/>
      <c r="BB70" s="172"/>
      <c r="BC70" s="172"/>
      <c r="BD70" s="172"/>
      <c r="BE70" s="172"/>
      <c r="BF70" s="172"/>
      <c r="BG70" s="172"/>
      <c r="BH70" s="172"/>
      <c r="BI70" s="172"/>
      <c r="BJ70" s="173"/>
    </row>
    <row r="71" spans="2:74" ht="8.1" customHeight="1" x14ac:dyDescent="0.3">
      <c r="B71" s="20"/>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J71" s="21"/>
    </row>
    <row r="72" spans="2:74" ht="16.5" customHeight="1" x14ac:dyDescent="0.3">
      <c r="B72" s="20"/>
      <c r="C72" s="195" t="s">
        <v>226</v>
      </c>
      <c r="D72" s="220"/>
      <c r="E72" s="220"/>
      <c r="F72" s="220"/>
      <c r="G72" s="220"/>
      <c r="H72" s="220"/>
      <c r="I72" s="220"/>
      <c r="J72" s="220"/>
      <c r="K72" s="220"/>
      <c r="L72" s="220"/>
      <c r="M72" s="220"/>
      <c r="N72" s="220"/>
      <c r="O72" s="220"/>
      <c r="P72" s="220"/>
      <c r="Q72" s="220"/>
      <c r="R72" s="220"/>
      <c r="S72" s="220"/>
      <c r="T72" s="220"/>
      <c r="U72" s="220"/>
      <c r="V72" s="220"/>
      <c r="W72" s="220"/>
      <c r="X72" s="220"/>
      <c r="Y72" s="220"/>
      <c r="Z72" s="220"/>
      <c r="AA72" s="220"/>
      <c r="AB72" s="220"/>
      <c r="AC72" s="220"/>
      <c r="AD72" s="220"/>
      <c r="AE72" s="220"/>
      <c r="AF72" s="220"/>
      <c r="AG72" s="220"/>
      <c r="AH72" s="220"/>
      <c r="AI72" s="220"/>
      <c r="AJ72" s="220"/>
      <c r="AK72" s="220"/>
      <c r="AL72" s="220"/>
      <c r="AM72" s="220"/>
      <c r="AN72" s="220"/>
      <c r="AO72" s="220"/>
      <c r="AP72" s="220"/>
      <c r="AQ72" s="220"/>
      <c r="AR72" s="220"/>
      <c r="AS72" s="220"/>
      <c r="AT72" s="220"/>
      <c r="AU72" s="81" t="s">
        <v>5</v>
      </c>
      <c r="AV72" s="186">
        <f>ROUND(IF(AV68&lt;= 300000,0, IF(AND(AV68&gt; 300000,AV68&lt;= 700000),ABS(AV68- 300000)*0.05, IF(AND(AV68&gt; 700000,AV68&lt;= 1000000),20000+ ABS(AV68- 700000)*0.1, IF(AND(AV68&gt; 1000000,AV68&lt;= 1200000),50000+ ABS(AV68- 1000000)*0.15, IF(AND(AV68&gt; 1200000,AV68&lt;= 1500000),80000+ ABS(AV68- 1200000)*0.2, IF(AV68&gt; 1500000, 140000+ABS(AV68- 1500000)*0.3,0)))))),0)</f>
        <v>0</v>
      </c>
      <c r="AW72" s="237"/>
      <c r="AX72" s="237"/>
      <c r="AY72" s="237"/>
      <c r="AZ72" s="237"/>
      <c r="BA72" s="237"/>
      <c r="BB72" s="237"/>
      <c r="BC72" s="237"/>
      <c r="BD72" s="237"/>
      <c r="BE72" s="237"/>
      <c r="BF72" s="237"/>
      <c r="BG72" s="237"/>
      <c r="BH72" s="237"/>
      <c r="BI72" s="237"/>
      <c r="BJ72" s="237"/>
    </row>
    <row r="73" spans="2:74" ht="8.1" customHeight="1" x14ac:dyDescent="0.3">
      <c r="B73" s="20"/>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J73" s="21"/>
      <c r="BP73" s="327" t="str">
        <f>IF(AND(AV68&gt;700000,(AV68-700000)&lt;=AV72),"You are availing of the benefit of marginal relief u/s 87A for the new tax regime u/s 115BAC (1A).","")</f>
        <v/>
      </c>
      <c r="BQ73" s="327"/>
      <c r="BR73" s="327"/>
      <c r="BS73" s="327"/>
      <c r="BT73" s="327"/>
      <c r="BU73" s="327"/>
      <c r="BV73" s="327"/>
    </row>
    <row r="74" spans="2:74" ht="16.5" customHeight="1" x14ac:dyDescent="0.3">
      <c r="B74" s="20"/>
      <c r="C74" s="195" t="s">
        <v>122</v>
      </c>
      <c r="D74" s="220"/>
      <c r="E74" s="220"/>
      <c r="F74" s="220"/>
      <c r="G74" s="220"/>
      <c r="H74" s="220"/>
      <c r="I74" s="220"/>
      <c r="J74" s="220"/>
      <c r="K74" s="220"/>
      <c r="L74" s="220"/>
      <c r="M74" s="220"/>
      <c r="N74" s="220"/>
      <c r="O74" s="220"/>
      <c r="P74" s="220"/>
      <c r="Q74" s="220"/>
      <c r="R74" s="220"/>
      <c r="S74" s="220"/>
      <c r="T74" s="220"/>
      <c r="U74" s="220"/>
      <c r="V74" s="220"/>
      <c r="W74" s="220"/>
      <c r="X74" s="220"/>
      <c r="Y74" s="220"/>
      <c r="Z74" s="220"/>
      <c r="AA74" s="220"/>
      <c r="AB74" s="220"/>
      <c r="AC74" s="220"/>
      <c r="AD74" s="220"/>
      <c r="AE74" s="220"/>
      <c r="AF74" s="220"/>
      <c r="AG74" s="220"/>
      <c r="AH74" s="220"/>
      <c r="AI74" s="220"/>
      <c r="AJ74" s="220"/>
      <c r="AK74" s="220"/>
      <c r="AL74" s="220"/>
      <c r="AM74" s="220"/>
      <c r="AN74" s="220"/>
      <c r="AO74" s="220"/>
      <c r="AP74" s="220"/>
      <c r="AQ74" s="220"/>
      <c r="AR74" s="220"/>
      <c r="AS74" s="220"/>
      <c r="AT74" s="220"/>
      <c r="AU74" s="81" t="s">
        <v>5</v>
      </c>
      <c r="AV74" s="186">
        <f>IF(AND(AV68&lt;=700000, AV68&lt;&gt;0),IF(AV72&lt;=20000,AV72,20000),IF(AND(AV68&lt;&gt;0,(AV68-700000)&lt;=AV72),AV72-(AV68-700000),0))</f>
        <v>0</v>
      </c>
      <c r="AW74" s="237"/>
      <c r="AX74" s="237"/>
      <c r="AY74" s="237"/>
      <c r="AZ74" s="237"/>
      <c r="BA74" s="237"/>
      <c r="BB74" s="237"/>
      <c r="BC74" s="237"/>
      <c r="BD74" s="237"/>
      <c r="BE74" s="237"/>
      <c r="BF74" s="237"/>
      <c r="BG74" s="237"/>
      <c r="BH74" s="237"/>
      <c r="BI74" s="237"/>
      <c r="BJ74" s="237"/>
      <c r="BP74" s="327"/>
      <c r="BQ74" s="327"/>
      <c r="BR74" s="327"/>
      <c r="BS74" s="327"/>
      <c r="BT74" s="327"/>
      <c r="BU74" s="327"/>
      <c r="BV74" s="327"/>
    </row>
    <row r="75" spans="2:74" ht="8.1" customHeight="1" x14ac:dyDescent="0.3">
      <c r="B75" s="20"/>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J75" s="21"/>
      <c r="BP75" s="327"/>
      <c r="BQ75" s="327"/>
      <c r="BR75" s="327"/>
      <c r="BS75" s="327"/>
      <c r="BT75" s="327"/>
      <c r="BU75" s="327"/>
      <c r="BV75" s="327"/>
    </row>
    <row r="76" spans="2:74" ht="16.5" customHeight="1" x14ac:dyDescent="0.3">
      <c r="B76" s="20"/>
      <c r="C76" s="195" t="s">
        <v>188</v>
      </c>
      <c r="D76" s="220"/>
      <c r="E76" s="220"/>
      <c r="F76" s="220"/>
      <c r="G76" s="220"/>
      <c r="H76" s="220"/>
      <c r="I76" s="220"/>
      <c r="J76" s="220"/>
      <c r="K76" s="220"/>
      <c r="L76" s="220"/>
      <c r="M76" s="220"/>
      <c r="N76" s="220"/>
      <c r="O76" s="220"/>
      <c r="P76" s="220"/>
      <c r="Q76" s="220"/>
      <c r="R76" s="220"/>
      <c r="S76" s="220"/>
      <c r="T76" s="220"/>
      <c r="U76" s="220"/>
      <c r="V76" s="220"/>
      <c r="W76" s="220"/>
      <c r="X76" s="220"/>
      <c r="Y76" s="220"/>
      <c r="Z76" s="220"/>
      <c r="AA76" s="220"/>
      <c r="AB76" s="220"/>
      <c r="AC76" s="220"/>
      <c r="AD76" s="220"/>
      <c r="AE76" s="220"/>
      <c r="AF76" s="220"/>
      <c r="AG76" s="220"/>
      <c r="AH76" s="220"/>
      <c r="AI76" s="220"/>
      <c r="AJ76" s="220"/>
      <c r="AK76" s="220"/>
      <c r="AL76" s="220"/>
      <c r="AM76" s="220"/>
      <c r="AN76" s="220"/>
      <c r="AO76" s="220"/>
      <c r="AP76" s="220"/>
      <c r="AQ76" s="220"/>
      <c r="AR76" s="220"/>
      <c r="AS76" s="220"/>
      <c r="AT76" s="220"/>
      <c r="AU76" s="81" t="s">
        <v>5</v>
      </c>
      <c r="AV76" s="186">
        <f>IF((AV72&lt;AV74),0,ROUND(ABS(AV72-AV74),0))</f>
        <v>0</v>
      </c>
      <c r="AW76" s="237"/>
      <c r="AX76" s="237"/>
      <c r="AY76" s="237"/>
      <c r="AZ76" s="237"/>
      <c r="BA76" s="237"/>
      <c r="BB76" s="237"/>
      <c r="BC76" s="237"/>
      <c r="BD76" s="237"/>
      <c r="BE76" s="237"/>
      <c r="BF76" s="237"/>
      <c r="BG76" s="237"/>
      <c r="BH76" s="237"/>
      <c r="BI76" s="237"/>
      <c r="BJ76" s="237"/>
    </row>
    <row r="77" spans="2:74" ht="8.1" customHeight="1" x14ac:dyDescent="0.3">
      <c r="B77" s="20"/>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J77" s="21"/>
    </row>
    <row r="78" spans="2:74" ht="16.5" customHeight="1" x14ac:dyDescent="0.3">
      <c r="B78" s="20"/>
      <c r="C78" s="195" t="s">
        <v>142</v>
      </c>
      <c r="D78" s="220"/>
      <c r="E78" s="220"/>
      <c r="F78" s="220"/>
      <c r="G78" s="220"/>
      <c r="H78" s="220"/>
      <c r="I78" s="220"/>
      <c r="J78" s="220"/>
      <c r="K78" s="220"/>
      <c r="L78" s="220"/>
      <c r="M78" s="220"/>
      <c r="N78" s="220"/>
      <c r="O78" s="220"/>
      <c r="P78" s="220"/>
      <c r="Q78" s="220"/>
      <c r="R78" s="220"/>
      <c r="S78" s="220"/>
      <c r="T78" s="220"/>
      <c r="U78" s="220"/>
      <c r="V78" s="220"/>
      <c r="W78" s="220"/>
      <c r="X78" s="220"/>
      <c r="Y78" s="220"/>
      <c r="Z78" s="220"/>
      <c r="AA78" s="220"/>
      <c r="AB78" s="220"/>
      <c r="AC78" s="220"/>
      <c r="AD78" s="220"/>
      <c r="AE78" s="220"/>
      <c r="AF78" s="220"/>
      <c r="AG78" s="220"/>
      <c r="AH78" s="220"/>
      <c r="AI78" s="220"/>
      <c r="AJ78" s="220"/>
      <c r="AK78" s="220"/>
      <c r="AL78" s="220"/>
      <c r="AM78" s="220"/>
      <c r="AN78" s="220"/>
      <c r="AO78" s="220"/>
      <c r="AP78" s="220"/>
      <c r="AQ78" s="220"/>
      <c r="AR78" s="220"/>
      <c r="AS78" s="220"/>
      <c r="AT78" s="220"/>
      <c r="AU78" s="81" t="s">
        <v>5</v>
      </c>
      <c r="AV78" s="186">
        <f>IF(AV76&lt;&gt;0,ROUND(AV76*0.04,0),0)</f>
        <v>0</v>
      </c>
      <c r="AW78" s="237"/>
      <c r="AX78" s="237"/>
      <c r="AY78" s="237"/>
      <c r="AZ78" s="237"/>
      <c r="BA78" s="237"/>
      <c r="BB78" s="237"/>
      <c r="BC78" s="237"/>
      <c r="BD78" s="237"/>
      <c r="BE78" s="237"/>
      <c r="BF78" s="237"/>
      <c r="BG78" s="237"/>
      <c r="BH78" s="237"/>
      <c r="BI78" s="237"/>
      <c r="BJ78" s="237"/>
    </row>
    <row r="79" spans="2:74" ht="8.1" customHeight="1" x14ac:dyDescent="0.3">
      <c r="B79" s="20"/>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J79" s="21"/>
    </row>
    <row r="80" spans="2:74" ht="16.5" customHeight="1" x14ac:dyDescent="0.3">
      <c r="B80" s="20"/>
      <c r="C80" s="195" t="s">
        <v>151</v>
      </c>
      <c r="D80" s="220"/>
      <c r="E80" s="220"/>
      <c r="F80" s="220"/>
      <c r="G80" s="220"/>
      <c r="H80" s="220"/>
      <c r="I80" s="220"/>
      <c r="J80" s="220"/>
      <c r="K80" s="220"/>
      <c r="L80" s="220"/>
      <c r="M80" s="220"/>
      <c r="N80" s="220"/>
      <c r="O80" s="220"/>
      <c r="P80" s="220"/>
      <c r="Q80" s="220"/>
      <c r="R80" s="220"/>
      <c r="S80" s="220"/>
      <c r="T80" s="220"/>
      <c r="U80" s="220"/>
      <c r="V80" s="220"/>
      <c r="W80" s="220"/>
      <c r="X80" s="220"/>
      <c r="Y80" s="220"/>
      <c r="Z80" s="220"/>
      <c r="AA80" s="220"/>
      <c r="AB80" s="220"/>
      <c r="AC80" s="220"/>
      <c r="AD80" s="220"/>
      <c r="AE80" s="220"/>
      <c r="AF80" s="220"/>
      <c r="AG80" s="220"/>
      <c r="AH80" s="220"/>
      <c r="AI80" s="220"/>
      <c r="AJ80" s="220"/>
      <c r="AK80" s="220"/>
      <c r="AL80" s="220"/>
      <c r="AM80" s="220"/>
      <c r="AN80" s="220"/>
      <c r="AO80" s="220"/>
      <c r="AP80" s="220"/>
      <c r="AQ80" s="220"/>
      <c r="AR80" s="220"/>
      <c r="AS80" s="220"/>
      <c r="AT80" s="220"/>
      <c r="AU80" s="81" t="s">
        <v>5</v>
      </c>
      <c r="AV80" s="186">
        <f>AV76+AV78</f>
        <v>0</v>
      </c>
      <c r="AW80" s="237"/>
      <c r="AX80" s="237"/>
      <c r="AY80" s="237"/>
      <c r="AZ80" s="237"/>
      <c r="BA80" s="237"/>
      <c r="BB80" s="237"/>
      <c r="BC80" s="237"/>
      <c r="BD80" s="237"/>
      <c r="BE80" s="237"/>
      <c r="BF80" s="237"/>
      <c r="BG80" s="237"/>
      <c r="BH80" s="237"/>
      <c r="BI80" s="237"/>
      <c r="BJ80" s="237"/>
    </row>
    <row r="81" spans="2:71" ht="8.1" customHeight="1" x14ac:dyDescent="0.3">
      <c r="B81" s="20"/>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J81" s="21"/>
    </row>
    <row r="82" spans="2:71" ht="16.5" customHeight="1" x14ac:dyDescent="0.3">
      <c r="B82" s="20"/>
      <c r="C82" s="195" t="s">
        <v>125</v>
      </c>
      <c r="D82" s="220"/>
      <c r="E82" s="220"/>
      <c r="F82" s="220"/>
      <c r="G82" s="220"/>
      <c r="H82" s="220"/>
      <c r="I82" s="220"/>
      <c r="J82" s="220"/>
      <c r="K82" s="220"/>
      <c r="L82" s="220"/>
      <c r="M82" s="220"/>
      <c r="N82" s="220"/>
      <c r="O82" s="220"/>
      <c r="P82" s="220"/>
      <c r="Q82" s="220"/>
      <c r="R82" s="220"/>
      <c r="S82" s="220"/>
      <c r="T82" s="220"/>
      <c r="U82" s="220"/>
      <c r="V82" s="220"/>
      <c r="W82" s="220"/>
      <c r="X82" s="220"/>
      <c r="Y82" s="220"/>
      <c r="Z82" s="220"/>
      <c r="AA82" s="220"/>
      <c r="AB82" s="220"/>
      <c r="AC82" s="220"/>
      <c r="AD82" s="220"/>
      <c r="AE82" s="220"/>
      <c r="AF82" s="220"/>
      <c r="AG82" s="220"/>
      <c r="AH82" s="220"/>
      <c r="AI82" s="220"/>
      <c r="AJ82" s="220"/>
      <c r="AK82" s="220"/>
      <c r="AL82" s="220"/>
      <c r="AM82" s="220"/>
      <c r="AN82" s="220"/>
      <c r="AO82" s="220"/>
      <c r="AP82" s="220"/>
      <c r="AQ82" s="220"/>
      <c r="AR82" s="220"/>
      <c r="AS82" s="220"/>
      <c r="AT82" s="220"/>
      <c r="AU82" s="81" t="s">
        <v>5</v>
      </c>
      <c r="AV82" s="186">
        <f>IF(ISNUMBER('Form 10E - New Scheme'!AF79),'Form 10E - New Scheme'!AF79,0)</f>
        <v>0</v>
      </c>
      <c r="AW82" s="237"/>
      <c r="AX82" s="237"/>
      <c r="AY82" s="237"/>
      <c r="AZ82" s="237"/>
      <c r="BA82" s="237"/>
      <c r="BB82" s="237"/>
      <c r="BC82" s="237"/>
      <c r="BD82" s="237"/>
      <c r="BE82" s="237"/>
      <c r="BF82" s="237"/>
      <c r="BG82" s="237"/>
      <c r="BH82" s="237"/>
      <c r="BI82" s="237"/>
      <c r="BJ82" s="237"/>
    </row>
    <row r="83" spans="2:71" ht="8.1" customHeight="1" x14ac:dyDescent="0.3">
      <c r="B83" s="22"/>
      <c r="C83" s="17"/>
      <c r="D83" s="17"/>
      <c r="E83" s="17"/>
      <c r="F83" s="17"/>
      <c r="G83" s="17"/>
      <c r="H83" s="17"/>
      <c r="I83" s="17"/>
      <c r="J83" s="17"/>
      <c r="K83" s="17"/>
      <c r="L83" s="17"/>
      <c r="M83" s="17"/>
      <c r="N83" s="17"/>
      <c r="O83" s="17"/>
      <c r="P83" s="17"/>
      <c r="Q83" s="17"/>
      <c r="R83" s="17"/>
      <c r="S83" s="17"/>
      <c r="T83" s="17"/>
      <c r="U83" s="17"/>
      <c r="V83" s="17"/>
      <c r="W83" s="17"/>
      <c r="X83" s="17"/>
      <c r="Y83" s="17"/>
      <c r="Z83" s="79" t="s">
        <v>169</v>
      </c>
      <c r="AA83" s="17"/>
      <c r="AB83" s="17"/>
      <c r="AC83" s="17"/>
      <c r="AD83" s="17"/>
      <c r="AE83" s="17"/>
      <c r="AF83" s="17"/>
      <c r="AG83" s="17"/>
      <c r="AH83" s="17"/>
      <c r="AI83" s="17"/>
      <c r="AJ83" s="17"/>
      <c r="AK83" s="17"/>
      <c r="AL83" s="17"/>
      <c r="AM83" s="17"/>
      <c r="AN83" s="17"/>
      <c r="AO83" s="17"/>
      <c r="AP83" s="17"/>
      <c r="AQ83" s="17"/>
      <c r="AR83" s="17"/>
      <c r="AS83" s="17"/>
      <c r="AT83" s="17"/>
      <c r="AU83" s="17"/>
      <c r="AV83" s="17"/>
      <c r="AW83" s="17"/>
      <c r="AX83" s="17"/>
      <c r="AY83" s="17"/>
      <c r="AZ83" s="17"/>
      <c r="BA83" s="17"/>
      <c r="BB83" s="17"/>
      <c r="BC83" s="17"/>
      <c r="BD83" s="17"/>
      <c r="BE83" s="17"/>
      <c r="BF83" s="18"/>
      <c r="BG83" s="18"/>
      <c r="BH83" s="18"/>
      <c r="BI83" s="18"/>
      <c r="BJ83" s="23"/>
    </row>
    <row r="84" spans="2:71" ht="18" customHeight="1" x14ac:dyDescent="0.3">
      <c r="B84" s="282" t="str">
        <f>IF(AV82&gt;AV80, "9. Refund (f - e)  ",   "9. Balance Tax After Relief / Amount payable  (e - f)  ")</f>
        <v xml:space="preserve">9. Balance Tax After Relief / Amount payable  (e - f)  </v>
      </c>
      <c r="C84" s="220"/>
      <c r="D84" s="220"/>
      <c r="E84" s="220"/>
      <c r="F84" s="220"/>
      <c r="G84" s="220"/>
      <c r="H84" s="220"/>
      <c r="I84" s="220"/>
      <c r="J84" s="220"/>
      <c r="K84" s="220"/>
      <c r="L84" s="220"/>
      <c r="M84" s="220"/>
      <c r="N84" s="220"/>
      <c r="O84" s="220"/>
      <c r="P84" s="220"/>
      <c r="Q84" s="220"/>
      <c r="R84" s="220"/>
      <c r="S84" s="220"/>
      <c r="T84" s="220"/>
      <c r="U84" s="220"/>
      <c r="V84" s="220"/>
      <c r="W84" s="220"/>
      <c r="X84" s="220"/>
      <c r="Y84" s="220"/>
      <c r="Z84" s="220"/>
      <c r="AA84" s="220"/>
      <c r="AB84" s="220"/>
      <c r="AC84" s="220"/>
      <c r="AD84" s="220"/>
      <c r="AE84" s="220"/>
      <c r="AF84" s="220"/>
      <c r="AG84" s="220"/>
      <c r="AH84" s="220"/>
      <c r="AI84" s="220"/>
      <c r="AJ84" s="220"/>
      <c r="AK84" s="220"/>
      <c r="AL84" s="220"/>
      <c r="AM84" s="220"/>
      <c r="AN84" s="220"/>
      <c r="AO84" s="220"/>
      <c r="AP84" s="220"/>
      <c r="AQ84" s="220"/>
      <c r="AR84" s="220"/>
      <c r="AS84" s="220"/>
      <c r="AT84" s="220"/>
      <c r="AU84" s="81" t="s">
        <v>5</v>
      </c>
      <c r="AV84" s="186" t="str">
        <f>IF(AV80&lt;&gt;AV82,MROUND(ABS(AV80-AV82),10),"NIL")</f>
        <v>NIL</v>
      </c>
      <c r="AW84" s="237"/>
      <c r="AX84" s="237"/>
      <c r="AY84" s="237"/>
      <c r="AZ84" s="237"/>
      <c r="BA84" s="237"/>
      <c r="BB84" s="237"/>
      <c r="BC84" s="237"/>
      <c r="BD84" s="237"/>
      <c r="BE84" s="237"/>
      <c r="BF84" s="237"/>
      <c r="BG84" s="237"/>
      <c r="BH84" s="237"/>
      <c r="BI84" s="237"/>
      <c r="BJ84" s="237"/>
      <c r="BS84" s="14"/>
    </row>
    <row r="85" spans="2:71" ht="8.1" customHeight="1" x14ac:dyDescent="0.3">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row>
    <row r="86" spans="2:71" x14ac:dyDescent="0.3">
      <c r="B86" s="231" t="s">
        <v>228</v>
      </c>
      <c r="C86" s="263"/>
      <c r="D86" s="263"/>
      <c r="E86" s="263"/>
      <c r="F86" s="263"/>
      <c r="G86" s="263"/>
      <c r="H86" s="263"/>
      <c r="I86" s="263"/>
      <c r="J86" s="263"/>
      <c r="K86" s="263"/>
      <c r="L86" s="263"/>
      <c r="M86" s="263"/>
      <c r="N86" s="263"/>
      <c r="O86" s="263"/>
      <c r="P86" s="263"/>
      <c r="Q86" s="263"/>
      <c r="R86" s="263"/>
      <c r="S86" s="263"/>
      <c r="T86" s="263"/>
      <c r="U86" s="263"/>
      <c r="V86" s="263"/>
      <c r="W86" s="263"/>
      <c r="X86" s="263"/>
      <c r="Y86" s="263"/>
      <c r="Z86" s="263"/>
      <c r="AA86" s="263"/>
      <c r="AB86" s="263"/>
      <c r="AC86" s="263"/>
      <c r="AD86" s="263"/>
      <c r="AE86" s="263"/>
      <c r="AF86" s="263"/>
      <c r="AG86" s="263"/>
      <c r="AH86" s="263"/>
      <c r="AI86" s="263"/>
      <c r="AJ86" s="263"/>
      <c r="AK86" s="263"/>
      <c r="AL86" s="263"/>
      <c r="AM86" s="263"/>
      <c r="AN86" s="263"/>
      <c r="AO86" s="263"/>
      <c r="AP86" s="263"/>
      <c r="AQ86" s="263"/>
      <c r="AR86" s="263"/>
      <c r="AS86" s="263"/>
      <c r="AT86" s="263"/>
      <c r="AU86" s="263"/>
      <c r="AV86" s="263"/>
      <c r="AW86" s="263"/>
      <c r="AX86" s="263"/>
      <c r="AY86" s="263"/>
      <c r="AZ86" s="263"/>
      <c r="BA86" s="263"/>
      <c r="BB86" s="263"/>
      <c r="BC86" s="263"/>
      <c r="BD86" s="263"/>
      <c r="BE86" s="263"/>
      <c r="BF86" s="263"/>
      <c r="BG86" s="263"/>
      <c r="BH86" s="263"/>
      <c r="BI86" s="263"/>
      <c r="BJ86" s="264"/>
    </row>
    <row r="87" spans="2:71" ht="8.1" customHeight="1" x14ac:dyDescent="0.3">
      <c r="B87" s="20"/>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J87" s="21"/>
    </row>
    <row r="88" spans="2:71" x14ac:dyDescent="0.3">
      <c r="B88" s="20"/>
      <c r="C88" s="188" t="s">
        <v>0</v>
      </c>
      <c r="D88" s="501"/>
      <c r="E88" s="501"/>
      <c r="F88" s="501"/>
      <c r="G88" s="501"/>
      <c r="H88" s="501"/>
      <c r="I88" s="501"/>
      <c r="J88" s="501"/>
      <c r="K88" s="501"/>
      <c r="L88" s="501"/>
      <c r="M88" s="501"/>
      <c r="N88" s="501"/>
      <c r="O88" s="188" t="s">
        <v>124</v>
      </c>
      <c r="P88" s="501"/>
      <c r="Q88" s="501"/>
      <c r="R88" s="501"/>
      <c r="S88" s="501"/>
      <c r="T88" s="501"/>
      <c r="U88" s="501"/>
      <c r="V88" s="501"/>
      <c r="W88" s="188" t="s">
        <v>0</v>
      </c>
      <c r="X88" s="501"/>
      <c r="Y88" s="501"/>
      <c r="Z88" s="501"/>
      <c r="AA88" s="501"/>
      <c r="AB88" s="501"/>
      <c r="AC88" s="501"/>
      <c r="AD88" s="501"/>
      <c r="AE88" s="501"/>
      <c r="AF88" s="501"/>
      <c r="AG88" s="501"/>
      <c r="AH88" s="501"/>
      <c r="AI88" s="188" t="s">
        <v>124</v>
      </c>
      <c r="AJ88" s="501"/>
      <c r="AK88" s="501"/>
      <c r="AL88" s="501"/>
      <c r="AM88" s="501"/>
      <c r="AN88" s="501"/>
      <c r="AO88" s="501"/>
      <c r="AP88" s="501"/>
      <c r="AQ88" s="188" t="s">
        <v>0</v>
      </c>
      <c r="AR88" s="501"/>
      <c r="AS88" s="501"/>
      <c r="AT88" s="501"/>
      <c r="AU88" s="501"/>
      <c r="AV88" s="501"/>
      <c r="AW88" s="501"/>
      <c r="AX88" s="501"/>
      <c r="AY88" s="501"/>
      <c r="AZ88" s="501"/>
      <c r="BA88" s="501"/>
      <c r="BB88" s="501"/>
      <c r="BC88" s="188" t="s">
        <v>124</v>
      </c>
      <c r="BD88" s="501"/>
      <c r="BE88" s="501"/>
      <c r="BF88" s="501"/>
      <c r="BG88" s="501"/>
      <c r="BH88" s="501"/>
      <c r="BI88" s="501"/>
      <c r="BJ88" s="501"/>
      <c r="BP88" s="6">
        <f>SUM(O89:V93,AI89:AP93,BC89,BC91,BC92)</f>
        <v>0</v>
      </c>
      <c r="BQ88" s="6">
        <f>IF(AND(SIGN(AV82-AV80)&lt;&gt;1,ISNUMBER(AV84)),IF(SIGN(BP88-AV84)&lt;&gt;1,ABS(BP88-AV84),0),0)</f>
        <v>0</v>
      </c>
      <c r="BR88" s="6">
        <f>IF(ISNUMBER(BQ88),MROUND(BQ88,100),0)</f>
        <v>0</v>
      </c>
    </row>
    <row r="89" spans="2:71" x14ac:dyDescent="0.3">
      <c r="B89" s="20"/>
      <c r="C89" s="200" t="s">
        <v>28</v>
      </c>
      <c r="D89" s="172"/>
      <c r="E89" s="172"/>
      <c r="F89" s="172"/>
      <c r="G89" s="172"/>
      <c r="H89" s="172"/>
      <c r="I89" s="172"/>
      <c r="J89" s="172"/>
      <c r="K89" s="169">
        <v>2024</v>
      </c>
      <c r="L89" s="172"/>
      <c r="M89" s="172"/>
      <c r="N89" s="173"/>
      <c r="O89" s="161">
        <f>IF(ISNUMBER('Income Tax Proforma - Old Schem'!O182),'Income Tax Proforma - Old Schem'!O182,0)</f>
        <v>0</v>
      </c>
      <c r="P89" s="162"/>
      <c r="Q89" s="162"/>
      <c r="R89" s="162"/>
      <c r="S89" s="162"/>
      <c r="T89" s="162"/>
      <c r="U89" s="162"/>
      <c r="V89" s="163"/>
      <c r="W89" s="200" t="s">
        <v>33</v>
      </c>
      <c r="X89" s="172"/>
      <c r="Y89" s="172"/>
      <c r="Z89" s="172"/>
      <c r="AA89" s="172"/>
      <c r="AB89" s="172"/>
      <c r="AC89" s="172"/>
      <c r="AD89" s="172"/>
      <c r="AE89" s="169">
        <v>2024</v>
      </c>
      <c r="AF89" s="172"/>
      <c r="AG89" s="172"/>
      <c r="AH89" s="173"/>
      <c r="AI89" s="161">
        <f>IF(ISNUMBER('Income Tax Proforma - Old Schem'!AI182),'Income Tax Proforma - Old Schem'!AI182,0)</f>
        <v>0</v>
      </c>
      <c r="AJ89" s="162"/>
      <c r="AK89" s="162"/>
      <c r="AL89" s="162"/>
      <c r="AM89" s="162"/>
      <c r="AN89" s="162"/>
      <c r="AO89" s="162"/>
      <c r="AP89" s="163"/>
      <c r="AQ89" s="195" t="s">
        <v>26</v>
      </c>
      <c r="AR89" s="220"/>
      <c r="AS89" s="220"/>
      <c r="AT89" s="220"/>
      <c r="AU89" s="220"/>
      <c r="AV89" s="220"/>
      <c r="AW89" s="220"/>
      <c r="AX89" s="470"/>
      <c r="AY89" s="169">
        <v>2025</v>
      </c>
      <c r="AZ89" s="172"/>
      <c r="BA89" s="172"/>
      <c r="BB89" s="173"/>
      <c r="BC89" s="161">
        <f>IF(ISNUMBER('Income Tax Proforma - Old Schem'!BC182),'Income Tax Proforma - Old Schem'!BC182,0)</f>
        <v>0</v>
      </c>
      <c r="BD89" s="162"/>
      <c r="BE89" s="162"/>
      <c r="BF89" s="162"/>
      <c r="BG89" s="162"/>
      <c r="BH89" s="162"/>
      <c r="BI89" s="162"/>
      <c r="BJ89" s="163"/>
    </row>
    <row r="90" spans="2:71" x14ac:dyDescent="0.3">
      <c r="B90" s="20"/>
      <c r="C90" s="200" t="s">
        <v>29</v>
      </c>
      <c r="D90" s="172"/>
      <c r="E90" s="172"/>
      <c r="F90" s="172"/>
      <c r="G90" s="172"/>
      <c r="H90" s="172"/>
      <c r="I90" s="172"/>
      <c r="J90" s="172"/>
      <c r="K90" s="169">
        <v>2024</v>
      </c>
      <c r="L90" s="172"/>
      <c r="M90" s="172"/>
      <c r="N90" s="173"/>
      <c r="O90" s="161">
        <f>IF(ISNUMBER('Income Tax Proforma - Old Schem'!O183),'Income Tax Proforma - Old Schem'!O183,0)</f>
        <v>0</v>
      </c>
      <c r="P90" s="162"/>
      <c r="Q90" s="162"/>
      <c r="R90" s="162"/>
      <c r="S90" s="162"/>
      <c r="T90" s="162"/>
      <c r="U90" s="162"/>
      <c r="V90" s="163"/>
      <c r="W90" s="200" t="s">
        <v>24</v>
      </c>
      <c r="X90" s="172"/>
      <c r="Y90" s="172"/>
      <c r="Z90" s="172"/>
      <c r="AA90" s="172"/>
      <c r="AB90" s="172"/>
      <c r="AC90" s="172"/>
      <c r="AD90" s="172"/>
      <c r="AE90" s="169">
        <v>2024</v>
      </c>
      <c r="AF90" s="172"/>
      <c r="AG90" s="172"/>
      <c r="AH90" s="173"/>
      <c r="AI90" s="161">
        <f>IF(ISNUMBER('Income Tax Proforma - Old Schem'!AI183),'Income Tax Proforma - Old Schem'!AI183,0)</f>
        <v>0</v>
      </c>
      <c r="AJ90" s="162"/>
      <c r="AK90" s="162"/>
      <c r="AL90" s="162"/>
      <c r="AM90" s="162"/>
      <c r="AN90" s="162"/>
      <c r="AO90" s="162"/>
      <c r="AP90" s="163"/>
      <c r="AQ90" s="195" t="s">
        <v>25</v>
      </c>
      <c r="AR90" s="220"/>
      <c r="AS90" s="220"/>
      <c r="AT90" s="220"/>
      <c r="AU90" s="220"/>
      <c r="AV90" s="220"/>
      <c r="AW90" s="220"/>
      <c r="AX90" s="470"/>
      <c r="AY90" s="169">
        <v>2025</v>
      </c>
      <c r="AZ90" s="172"/>
      <c r="BA90" s="172"/>
      <c r="BB90" s="173"/>
      <c r="BC90" s="162">
        <f>IF(AND(ISNUMBER(AV84),ISNUMBER(BQ88)),IF(AND(SIGN(AV82-AV80)=-1,SIGN(BP88-AV84)&lt;&gt;1),ROUND(ABS(AV84-SUM(O89:V93,AI89:AP93,BC89,BC91:BJ92)),0),0),0)</f>
        <v>0</v>
      </c>
      <c r="BD90" s="496"/>
      <c r="BE90" s="496"/>
      <c r="BF90" s="496"/>
      <c r="BG90" s="496"/>
      <c r="BH90" s="496"/>
      <c r="BI90" s="496"/>
      <c r="BJ90" s="497"/>
      <c r="BQ90" s="13"/>
    </row>
    <row r="91" spans="2:71" x14ac:dyDescent="0.3">
      <c r="B91" s="20"/>
      <c r="C91" s="200" t="s">
        <v>30</v>
      </c>
      <c r="D91" s="172"/>
      <c r="E91" s="172"/>
      <c r="F91" s="172"/>
      <c r="G91" s="172"/>
      <c r="H91" s="172"/>
      <c r="I91" s="172"/>
      <c r="J91" s="172"/>
      <c r="K91" s="169">
        <v>2024</v>
      </c>
      <c r="L91" s="172"/>
      <c r="M91" s="172"/>
      <c r="N91" s="173"/>
      <c r="O91" s="161">
        <f>IF(ISNUMBER('Income Tax Proforma - Old Schem'!O184),'Income Tax Proforma - Old Schem'!O184,0)</f>
        <v>0</v>
      </c>
      <c r="P91" s="162"/>
      <c r="Q91" s="162"/>
      <c r="R91" s="162"/>
      <c r="S91" s="162"/>
      <c r="T91" s="162"/>
      <c r="U91" s="162"/>
      <c r="V91" s="163"/>
      <c r="W91" s="200" t="s">
        <v>34</v>
      </c>
      <c r="X91" s="172"/>
      <c r="Y91" s="172"/>
      <c r="Z91" s="172"/>
      <c r="AA91" s="172"/>
      <c r="AB91" s="172"/>
      <c r="AC91" s="172"/>
      <c r="AD91" s="172"/>
      <c r="AE91" s="169">
        <v>2024</v>
      </c>
      <c r="AF91" s="172"/>
      <c r="AG91" s="172"/>
      <c r="AH91" s="173"/>
      <c r="AI91" s="161">
        <f>IF(ISNUMBER('Income Tax Proforma - Old Schem'!AI184),'Income Tax Proforma - Old Schem'!AI184,0)</f>
        <v>0</v>
      </c>
      <c r="AJ91" s="162"/>
      <c r="AK91" s="162"/>
      <c r="AL91" s="162"/>
      <c r="AM91" s="162"/>
      <c r="AN91" s="162"/>
      <c r="AO91" s="162"/>
      <c r="AP91" s="163"/>
      <c r="AQ91" s="495" t="str">
        <f>IF(ISTEXT('Income Tax Proforma - Old Schem'!AQ184),'Income Tax Proforma - Old Schem'!AQ184,"")</f>
        <v/>
      </c>
      <c r="AR91" s="242"/>
      <c r="AS91" s="242"/>
      <c r="AT91" s="242"/>
      <c r="AU91" s="242"/>
      <c r="AV91" s="242"/>
      <c r="AW91" s="242"/>
      <c r="AX91" s="242"/>
      <c r="AY91" s="242"/>
      <c r="AZ91" s="242"/>
      <c r="BA91" s="242"/>
      <c r="BB91" s="243"/>
      <c r="BC91" s="161">
        <f>IF(ISNUMBER('Income Tax Proforma - Old Schem'!BC184),'Income Tax Proforma - Old Schem'!BC184,0)</f>
        <v>0</v>
      </c>
      <c r="BD91" s="162"/>
      <c r="BE91" s="162"/>
      <c r="BF91" s="162"/>
      <c r="BG91" s="162"/>
      <c r="BH91" s="162"/>
      <c r="BI91" s="162"/>
      <c r="BJ91" s="163"/>
    </row>
    <row r="92" spans="2:71" x14ac:dyDescent="0.3">
      <c r="B92" s="20"/>
      <c r="C92" s="200" t="s">
        <v>31</v>
      </c>
      <c r="D92" s="172"/>
      <c r="E92" s="172"/>
      <c r="F92" s="172"/>
      <c r="G92" s="172"/>
      <c r="H92" s="172"/>
      <c r="I92" s="172"/>
      <c r="J92" s="172"/>
      <c r="K92" s="169">
        <v>2024</v>
      </c>
      <c r="L92" s="172"/>
      <c r="M92" s="172"/>
      <c r="N92" s="173"/>
      <c r="O92" s="161">
        <f>IF(ISNUMBER('Income Tax Proforma - Old Schem'!O185),'Income Tax Proforma - Old Schem'!O185,0)</f>
        <v>0</v>
      </c>
      <c r="P92" s="162"/>
      <c r="Q92" s="162"/>
      <c r="R92" s="162"/>
      <c r="S92" s="162"/>
      <c r="T92" s="162"/>
      <c r="U92" s="162"/>
      <c r="V92" s="163"/>
      <c r="W92" s="200" t="s">
        <v>35</v>
      </c>
      <c r="X92" s="172"/>
      <c r="Y92" s="172"/>
      <c r="Z92" s="172"/>
      <c r="AA92" s="172"/>
      <c r="AB92" s="172"/>
      <c r="AC92" s="172"/>
      <c r="AD92" s="172"/>
      <c r="AE92" s="169">
        <v>2024</v>
      </c>
      <c r="AF92" s="172"/>
      <c r="AG92" s="172"/>
      <c r="AH92" s="173"/>
      <c r="AI92" s="161">
        <f>IF(ISNUMBER('Income Tax Proforma - Old Schem'!AI185),'Income Tax Proforma - Old Schem'!AI185,0)</f>
        <v>0</v>
      </c>
      <c r="AJ92" s="162"/>
      <c r="AK92" s="162"/>
      <c r="AL92" s="162"/>
      <c r="AM92" s="162"/>
      <c r="AN92" s="162"/>
      <c r="AO92" s="162"/>
      <c r="AP92" s="163"/>
      <c r="AQ92" s="495" t="str">
        <f>IF(ISTEXT('Income Tax Proforma - Old Schem'!AQ185),'Income Tax Proforma - Old Schem'!AQ185,"")</f>
        <v/>
      </c>
      <c r="AR92" s="242"/>
      <c r="AS92" s="242"/>
      <c r="AT92" s="242"/>
      <c r="AU92" s="242"/>
      <c r="AV92" s="242"/>
      <c r="AW92" s="242"/>
      <c r="AX92" s="242"/>
      <c r="AY92" s="242"/>
      <c r="AZ92" s="242"/>
      <c r="BA92" s="242"/>
      <c r="BB92" s="243"/>
      <c r="BC92" s="161">
        <f>IF(ISNUMBER('Income Tax Proforma - Old Schem'!BC185),'Income Tax Proforma - Old Schem'!BC185,0)</f>
        <v>0</v>
      </c>
      <c r="BD92" s="162"/>
      <c r="BE92" s="162"/>
      <c r="BF92" s="162"/>
      <c r="BG92" s="162"/>
      <c r="BH92" s="162"/>
      <c r="BI92" s="162"/>
      <c r="BJ92" s="163"/>
    </row>
    <row r="93" spans="2:71" x14ac:dyDescent="0.3">
      <c r="B93" s="20"/>
      <c r="C93" s="200" t="s">
        <v>32</v>
      </c>
      <c r="D93" s="172"/>
      <c r="E93" s="172"/>
      <c r="F93" s="172"/>
      <c r="G93" s="172"/>
      <c r="H93" s="172"/>
      <c r="I93" s="172"/>
      <c r="J93" s="172"/>
      <c r="K93" s="169">
        <v>2024</v>
      </c>
      <c r="L93" s="172"/>
      <c r="M93" s="172"/>
      <c r="N93" s="173"/>
      <c r="O93" s="161">
        <f>IF(ISNUMBER('Income Tax Proforma - Old Schem'!O186),'Income Tax Proforma - Old Schem'!O186,0)</f>
        <v>0</v>
      </c>
      <c r="P93" s="162"/>
      <c r="Q93" s="162"/>
      <c r="R93" s="162"/>
      <c r="S93" s="162"/>
      <c r="T93" s="162"/>
      <c r="U93" s="162"/>
      <c r="V93" s="163"/>
      <c r="W93" s="200" t="s">
        <v>27</v>
      </c>
      <c r="X93" s="172"/>
      <c r="Y93" s="172"/>
      <c r="Z93" s="172"/>
      <c r="AA93" s="172"/>
      <c r="AB93" s="172"/>
      <c r="AC93" s="172"/>
      <c r="AD93" s="172"/>
      <c r="AE93" s="169">
        <v>2024</v>
      </c>
      <c r="AF93" s="172"/>
      <c r="AG93" s="172"/>
      <c r="AH93" s="173"/>
      <c r="AI93" s="161">
        <f>IF(ISNUMBER('Income Tax Proforma - Old Schem'!AI186),'Income Tax Proforma - Old Schem'!AI186,0)</f>
        <v>0</v>
      </c>
      <c r="AJ93" s="162"/>
      <c r="AK93" s="162"/>
      <c r="AL93" s="162"/>
      <c r="AM93" s="162"/>
      <c r="AN93" s="162"/>
      <c r="AO93" s="162"/>
      <c r="AP93" s="163"/>
      <c r="AQ93" s="226" t="s">
        <v>4</v>
      </c>
      <c r="AR93" s="253"/>
      <c r="AS93" s="253"/>
      <c r="AT93" s="253"/>
      <c r="AU93" s="253"/>
      <c r="AV93" s="253"/>
      <c r="AW93" s="253"/>
      <c r="AX93" s="253"/>
      <c r="AY93" s="227"/>
      <c r="AZ93" s="227"/>
      <c r="BA93" s="227"/>
      <c r="BB93" s="255"/>
      <c r="BC93" s="162">
        <f>SUM(O89:V93,AI89:AP93,BC89:BJ92)</f>
        <v>0</v>
      </c>
      <c r="BD93" s="496"/>
      <c r="BE93" s="496"/>
      <c r="BF93" s="496"/>
      <c r="BG93" s="496"/>
      <c r="BH93" s="496"/>
      <c r="BI93" s="496"/>
      <c r="BJ93" s="497"/>
    </row>
    <row r="94" spans="2:71" ht="8.1" customHeight="1" x14ac:dyDescent="0.3">
      <c r="B94" s="22"/>
      <c r="C94" s="17"/>
      <c r="D94" s="17"/>
      <c r="E94" s="17"/>
      <c r="F94" s="17"/>
      <c r="G94" s="17"/>
      <c r="H94" s="17"/>
      <c r="I94" s="17"/>
      <c r="J94" s="17"/>
      <c r="K94" s="17"/>
      <c r="L94" s="17"/>
      <c r="M94" s="17"/>
      <c r="N94" s="17"/>
      <c r="O94" s="17"/>
      <c r="P94" s="17"/>
      <c r="Q94" s="17"/>
      <c r="R94" s="17"/>
      <c r="S94" s="17"/>
      <c r="T94" s="17"/>
      <c r="U94" s="17"/>
      <c r="V94" s="17"/>
      <c r="W94" s="17"/>
      <c r="X94" s="17"/>
      <c r="Y94" s="17"/>
      <c r="Z94" s="17"/>
      <c r="AA94" s="17"/>
      <c r="AB94" s="17"/>
      <c r="AC94" s="17"/>
      <c r="AD94" s="17"/>
      <c r="AE94" s="17"/>
      <c r="AF94" s="17"/>
      <c r="AG94" s="17"/>
      <c r="AH94" s="17"/>
      <c r="AI94" s="17"/>
      <c r="AJ94" s="17"/>
      <c r="AK94" s="17"/>
      <c r="AL94" s="17"/>
      <c r="AM94" s="17"/>
      <c r="AN94" s="17"/>
      <c r="AO94" s="17"/>
      <c r="AP94" s="17"/>
      <c r="AQ94" s="17"/>
      <c r="AR94" s="17"/>
      <c r="AS94" s="17"/>
      <c r="AT94" s="17"/>
      <c r="AU94" s="17"/>
      <c r="AV94" s="17"/>
      <c r="AW94" s="17"/>
      <c r="AX94" s="17"/>
      <c r="AY94" s="17"/>
      <c r="AZ94" s="17"/>
      <c r="BA94" s="17"/>
      <c r="BB94" s="17"/>
      <c r="BC94" s="17"/>
      <c r="BD94" s="17"/>
      <c r="BE94" s="17"/>
      <c r="BF94" s="18"/>
      <c r="BG94" s="18"/>
      <c r="BH94" s="18"/>
      <c r="BI94" s="18"/>
      <c r="BJ94" s="23"/>
    </row>
    <row r="95" spans="2:71" ht="18" customHeight="1" x14ac:dyDescent="0.3">
      <c r="B95" s="212" t="str">
        <f>IF(AV84&lt;&gt;"NIL",IF(AND(SIGN(AV80-AV82)&lt;&gt;-1,SIGN(AV84-BC93)&lt;&gt;-1,NOT(AV84=BC93)),"11. Tax Payable  (10 - 9)  :",IF(AND(SIGN(AV80-AV82)&lt;&gt;-1,SIGN(AV84-BC93)=-1),"11. Refundable (10 - 9)  :",IF(AND(SIGN(AV80-AV82)=-1,SIGN(AV84-BC93)=-1),"11. Refundable (10 - 9)  :",IF(AND(SIGN(AV80-AV82)=-1,SIGN(AV84-BC93)&lt;&gt;-1),"11. Refundable (10 - 9)  :",IF((AV84-BC93)=0,"11. Tax Payable  (10 - 9)  :",0))))),IF(BC93&lt;&gt;0, "11. Refundable (10 - 9)  :","11. Tax Payable  (10 - 9)  :"))</f>
        <v>11. Tax Payable  (10 - 9)  :</v>
      </c>
      <c r="C95" s="498"/>
      <c r="D95" s="498"/>
      <c r="E95" s="498"/>
      <c r="F95" s="498"/>
      <c r="G95" s="498"/>
      <c r="H95" s="498"/>
      <c r="I95" s="498"/>
      <c r="J95" s="498"/>
      <c r="K95" s="498"/>
      <c r="L95" s="498"/>
      <c r="M95" s="498"/>
      <c r="N95" s="498"/>
      <c r="O95" s="498"/>
      <c r="P95" s="498"/>
      <c r="Q95" s="498"/>
      <c r="R95" s="498"/>
      <c r="S95" s="498"/>
      <c r="T95" s="498"/>
      <c r="U95" s="498"/>
      <c r="V95" s="498"/>
      <c r="W95" s="498"/>
      <c r="X95" s="498"/>
      <c r="Y95" s="498"/>
      <c r="Z95" s="498"/>
      <c r="AA95" s="498"/>
      <c r="AB95" s="498"/>
      <c r="AC95" s="498"/>
      <c r="AD95" s="498"/>
      <c r="AE95" s="498"/>
      <c r="AF95" s="498"/>
      <c r="AG95" s="498"/>
      <c r="AH95" s="498"/>
      <c r="AI95" s="498"/>
      <c r="AJ95" s="498"/>
      <c r="AK95" s="498"/>
      <c r="AL95" s="498"/>
      <c r="AM95" s="498"/>
      <c r="AN95" s="498"/>
      <c r="AO95" s="498"/>
      <c r="AP95" s="498"/>
      <c r="AQ95" s="498"/>
      <c r="AR95" s="498"/>
      <c r="AS95" s="498"/>
      <c r="AT95" s="498"/>
      <c r="AU95" s="25"/>
      <c r="AV95" s="158" t="str">
        <f>IF(AV84&lt;&gt;"NIL",IF(AND(SIGN(AV80-AV82)&lt;&gt;-1,SIGN(AV84-BC93)&lt;&gt;-1,NOT(AV84=BC93)),MROUND(ABS(AV84-BC93),10),IF(AND(SIGN(AV80-AV82)&lt;&gt;-1,SIGN(AV84-BC93)=-1),MROUND(ABS(AV84-BC93),10),IF(AND(SIGN(AV80-AV82)=-1,SIGN(AV84-BC93)=-1),MROUND(ABS(AV84+BC93),10),IF(AND(SIGN(AV80-AV82)=-1,SIGN(AV84-BC93)&lt;&gt;-1),MROUND(ABS(AV84+BC93),10),IF((AV84-BC93)=0,"NIL",0))))),IF(BC93&lt;&gt;0,MROUND(BC93,10),"NIL"))</f>
        <v>NIL</v>
      </c>
      <c r="AW95" s="499"/>
      <c r="AX95" s="499"/>
      <c r="AY95" s="499"/>
      <c r="AZ95" s="499"/>
      <c r="BA95" s="499"/>
      <c r="BB95" s="499"/>
      <c r="BC95" s="499"/>
      <c r="BD95" s="499"/>
      <c r="BE95" s="499"/>
      <c r="BF95" s="499"/>
      <c r="BG95" s="499"/>
      <c r="BH95" s="499"/>
      <c r="BI95" s="499"/>
      <c r="BJ95" s="500"/>
    </row>
    <row r="96" spans="2:71" ht="8.1" customHeight="1" x14ac:dyDescent="0.3">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row>
    <row r="97" spans="2:62" x14ac:dyDescent="0.3">
      <c r="B97" s="226" t="s">
        <v>126</v>
      </c>
      <c r="C97" s="253"/>
      <c r="D97" s="253"/>
      <c r="E97" s="253"/>
      <c r="F97" s="253"/>
      <c r="G97" s="253"/>
      <c r="H97" s="253"/>
      <c r="I97" s="253"/>
      <c r="J97" s="253"/>
      <c r="K97" s="253"/>
      <c r="L97" s="253"/>
      <c r="M97" s="253"/>
      <c r="N97" s="253"/>
      <c r="O97" s="253"/>
      <c r="P97" s="253"/>
      <c r="Q97" s="253"/>
      <c r="R97" s="253"/>
      <c r="S97" s="253"/>
      <c r="T97" s="253"/>
      <c r="U97" s="253"/>
      <c r="V97" s="253"/>
      <c r="W97" s="253"/>
      <c r="X97" s="253"/>
      <c r="Y97" s="253"/>
      <c r="Z97" s="253"/>
      <c r="AA97" s="253"/>
      <c r="AB97" s="253"/>
      <c r="AC97" s="253"/>
      <c r="AD97" s="253"/>
      <c r="AE97" s="253"/>
      <c r="AF97" s="253"/>
      <c r="AG97" s="253"/>
      <c r="AH97" s="253"/>
      <c r="AI97" s="253"/>
      <c r="AJ97" s="253"/>
      <c r="AK97" s="253"/>
      <c r="AL97" s="253"/>
      <c r="AM97" s="253"/>
      <c r="AN97" s="253"/>
      <c r="AO97" s="253"/>
      <c r="AP97" s="253"/>
      <c r="AQ97" s="253"/>
      <c r="AR97" s="253"/>
      <c r="AS97" s="253"/>
      <c r="AT97" s="253"/>
      <c r="AU97" s="253"/>
      <c r="AV97" s="253"/>
      <c r="AW97" s="253"/>
      <c r="AX97" s="253"/>
      <c r="AY97" s="253"/>
      <c r="AZ97" s="253"/>
      <c r="BA97" s="253"/>
      <c r="BB97" s="253"/>
      <c r="BC97" s="253"/>
      <c r="BD97" s="253"/>
      <c r="BE97" s="253"/>
      <c r="BF97" s="253"/>
      <c r="BG97" s="253"/>
      <c r="BH97" s="253"/>
      <c r="BI97" s="253"/>
      <c r="BJ97" s="254"/>
    </row>
    <row r="98" spans="2:62" ht="8.1" customHeight="1" x14ac:dyDescent="0.3">
      <c r="B98" s="20"/>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J98" s="21"/>
    </row>
    <row r="99" spans="2:62" x14ac:dyDescent="0.3">
      <c r="B99" s="20"/>
      <c r="C99" s="304" t="s">
        <v>55</v>
      </c>
      <c r="D99" s="304"/>
      <c r="E99" s="305" t="str">
        <f>PROPER(L5)</f>
        <v xml:space="preserve"> </v>
      </c>
      <c r="F99" s="208"/>
      <c r="G99" s="208"/>
      <c r="H99" s="208"/>
      <c r="I99" s="208"/>
      <c r="J99" s="208"/>
      <c r="K99" s="208"/>
      <c r="L99" s="208"/>
      <c r="M99" s="208"/>
      <c r="N99" s="208"/>
      <c r="O99" s="208"/>
      <c r="P99" s="208"/>
      <c r="Q99" s="208"/>
      <c r="R99" s="208"/>
      <c r="S99" s="208"/>
      <c r="T99" s="208"/>
      <c r="U99" s="208"/>
      <c r="V99" s="208"/>
      <c r="W99" s="208"/>
      <c r="X99" s="208"/>
      <c r="Y99" s="208"/>
      <c r="Z99" s="304" t="s">
        <v>127</v>
      </c>
      <c r="AA99" s="96"/>
      <c r="AB99" s="96"/>
      <c r="AC99" s="96"/>
      <c r="AD99" s="96"/>
      <c r="AE99" s="96"/>
      <c r="AF99" s="96"/>
      <c r="AG99" s="96"/>
      <c r="AH99" s="96"/>
      <c r="AI99" s="305" t="str">
        <f>IF(ISBLANK('Basic Information'!L8)," ",PROPER('Basic Information'!L8))</f>
        <v xml:space="preserve"> </v>
      </c>
      <c r="AJ99" s="494"/>
      <c r="AK99" s="494"/>
      <c r="AL99" s="494"/>
      <c r="AM99" s="494"/>
      <c r="AN99" s="494"/>
      <c r="AO99" s="494"/>
      <c r="AP99" s="494"/>
      <c r="AQ99" s="494"/>
      <c r="AR99" s="494"/>
      <c r="AS99" s="494"/>
      <c r="AT99" s="494"/>
      <c r="AU99" s="494"/>
      <c r="AV99" s="494"/>
      <c r="AW99" s="494"/>
      <c r="AX99" s="494"/>
      <c r="AY99" s="494"/>
      <c r="AZ99" s="304" t="s">
        <v>128</v>
      </c>
      <c r="BA99" s="304"/>
      <c r="BB99" s="304"/>
      <c r="BC99" s="304"/>
      <c r="BD99" s="304"/>
      <c r="BE99" s="304"/>
      <c r="BF99" s="304"/>
      <c r="BG99" s="304"/>
      <c r="BH99" s="304"/>
      <c r="BI99" s="304"/>
      <c r="BJ99" s="331"/>
    </row>
    <row r="100" spans="2:62" x14ac:dyDescent="0.3">
      <c r="B100" s="20"/>
      <c r="C100" s="304" t="s">
        <v>129</v>
      </c>
      <c r="D100" s="304"/>
      <c r="E100" s="304"/>
      <c r="F100" s="304"/>
      <c r="G100" s="304"/>
      <c r="H100" s="304"/>
      <c r="I100" s="304"/>
      <c r="J100" s="304"/>
      <c r="K100" s="304"/>
      <c r="L100" s="304"/>
      <c r="M100" s="304"/>
      <c r="N100" s="304"/>
      <c r="O100" s="304"/>
      <c r="P100" s="304"/>
      <c r="Q100" s="304"/>
      <c r="R100" s="304"/>
      <c r="S100" s="304"/>
      <c r="T100" s="304"/>
      <c r="U100" s="304"/>
      <c r="V100" s="304"/>
      <c r="W100" s="304"/>
      <c r="X100" s="304"/>
      <c r="Y100" s="304"/>
      <c r="Z100" s="304"/>
      <c r="AA100" s="304"/>
      <c r="AB100" s="304"/>
      <c r="AC100" s="304"/>
      <c r="AD100" s="304"/>
      <c r="AE100" s="304"/>
      <c r="AF100" s="304"/>
      <c r="AG100" s="304"/>
      <c r="AH100" s="304"/>
      <c r="AI100" s="304"/>
      <c r="AJ100" s="304"/>
      <c r="AK100" s="304"/>
      <c r="AL100" s="304"/>
      <c r="AM100" s="304"/>
      <c r="AN100" s="304"/>
      <c r="AO100" s="304"/>
      <c r="AP100" s="304"/>
      <c r="AQ100" s="304"/>
      <c r="AR100" s="304"/>
      <c r="AS100" s="304"/>
      <c r="AT100" s="304"/>
      <c r="AU100" s="304"/>
      <c r="AV100" s="304"/>
      <c r="AW100" s="304"/>
      <c r="AX100" s="304"/>
      <c r="AY100" s="304"/>
      <c r="AZ100" s="304"/>
      <c r="BA100" s="304"/>
      <c r="BB100" s="304"/>
      <c r="BC100" s="304"/>
      <c r="BD100" s="304"/>
      <c r="BE100" s="304"/>
      <c r="BF100" s="304"/>
      <c r="BG100" s="304"/>
      <c r="BH100" s="304"/>
      <c r="BI100" s="304"/>
      <c r="BJ100" s="26"/>
    </row>
    <row r="101" spans="2:62" x14ac:dyDescent="0.3">
      <c r="B101" s="20"/>
      <c r="C101" s="304" t="s">
        <v>197</v>
      </c>
      <c r="D101" s="304"/>
      <c r="E101" s="304"/>
      <c r="F101" s="304"/>
      <c r="G101" s="304"/>
      <c r="H101" s="304"/>
      <c r="I101" s="304"/>
      <c r="J101" s="304"/>
      <c r="K101" s="304"/>
      <c r="L101" s="304"/>
      <c r="M101" s="304"/>
      <c r="N101" s="304"/>
      <c r="O101" s="304"/>
      <c r="P101" s="304"/>
      <c r="Q101" s="304"/>
      <c r="R101" s="304"/>
      <c r="S101" s="304"/>
      <c r="T101" s="304"/>
      <c r="U101" s="304"/>
      <c r="V101" s="304"/>
      <c r="W101" s="304"/>
      <c r="X101" s="304"/>
      <c r="Y101" s="304"/>
      <c r="Z101" s="304"/>
      <c r="AA101" s="304"/>
      <c r="AB101" s="304"/>
      <c r="AC101" s="304"/>
      <c r="AD101" s="304"/>
      <c r="AE101" s="304"/>
      <c r="AF101" s="304"/>
      <c r="AG101" s="304"/>
      <c r="AH101" s="304"/>
      <c r="AI101" s="304"/>
      <c r="AJ101" s="304"/>
      <c r="AK101" s="304"/>
      <c r="AL101" s="304"/>
      <c r="AM101" s="304"/>
      <c r="AN101" s="304"/>
      <c r="AO101" s="304"/>
      <c r="AP101" s="304"/>
      <c r="AQ101" s="304"/>
      <c r="AR101" s="304"/>
      <c r="AS101" s="304"/>
      <c r="AT101" s="304"/>
      <c r="AU101" s="304"/>
      <c r="AV101" s="304"/>
      <c r="AW101" s="304"/>
      <c r="AX101" s="304"/>
      <c r="AY101" s="304"/>
      <c r="AZ101" s="304"/>
      <c r="BA101" s="304"/>
      <c r="BB101" s="304"/>
      <c r="BC101" s="304"/>
      <c r="BD101" s="304"/>
      <c r="BE101" s="304"/>
      <c r="BF101" s="304"/>
      <c r="BG101" s="304"/>
      <c r="BH101" s="304"/>
      <c r="BI101" s="304"/>
      <c r="BJ101" s="26"/>
    </row>
    <row r="102" spans="2:62" x14ac:dyDescent="0.3">
      <c r="B102" s="20"/>
      <c r="C102" s="304" t="s">
        <v>131</v>
      </c>
      <c r="D102" s="96"/>
      <c r="E102" s="96"/>
      <c r="F102" s="96"/>
      <c r="G102" s="96"/>
      <c r="H102" s="96"/>
      <c r="I102" s="96"/>
      <c r="J102" s="96"/>
      <c r="K102" s="96"/>
      <c r="L102" s="96"/>
      <c r="M102" s="96"/>
      <c r="N102" s="96"/>
      <c r="O102" s="96"/>
      <c r="P102" s="96"/>
      <c r="Q102" s="96"/>
      <c r="R102" s="96"/>
      <c r="S102" s="96"/>
      <c r="T102" s="96"/>
      <c r="U102" s="96"/>
      <c r="V102" s="96"/>
      <c r="W102" s="96"/>
      <c r="X102" s="96"/>
      <c r="Y102" s="305" t="str">
        <f>UPPER(AN5)</f>
        <v xml:space="preserve"> </v>
      </c>
      <c r="Z102" s="494"/>
      <c r="AA102" s="494"/>
      <c r="AB102" s="494"/>
      <c r="AC102" s="494"/>
      <c r="AD102" s="494"/>
      <c r="AE102" s="494"/>
      <c r="AF102" s="494"/>
      <c r="AG102" s="96"/>
      <c r="AH102" s="12" t="s">
        <v>130</v>
      </c>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c r="BH102" s="12"/>
      <c r="BI102" s="12"/>
      <c r="BJ102" s="26"/>
    </row>
    <row r="103" spans="2:62" ht="8.1" customHeight="1" x14ac:dyDescent="0.3">
      <c r="B103" s="20"/>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J103" s="21"/>
    </row>
    <row r="104" spans="2:62" x14ac:dyDescent="0.3">
      <c r="B104" s="20"/>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F104" s="12"/>
      <c r="BG104" s="12"/>
      <c r="BH104" s="12"/>
      <c r="BI104" s="12"/>
      <c r="BJ104" s="26"/>
    </row>
    <row r="105" spans="2:62" x14ac:dyDescent="0.3">
      <c r="B105" s="20"/>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304" t="s">
        <v>14</v>
      </c>
      <c r="AG105" s="96"/>
      <c r="AH105" s="96"/>
      <c r="AI105" s="96"/>
      <c r="AJ105" s="96"/>
      <c r="AK105" s="96"/>
      <c r="AL105" s="96"/>
      <c r="AM105" s="96"/>
      <c r="AN105" s="27" t="s">
        <v>5</v>
      </c>
      <c r="AO105" s="12"/>
      <c r="AP105" s="12"/>
      <c r="AQ105" s="12"/>
      <c r="AR105" s="12"/>
      <c r="AS105" s="12"/>
      <c r="AT105" s="12"/>
      <c r="AU105" s="12"/>
      <c r="AV105" s="12"/>
      <c r="AW105" s="12"/>
      <c r="AX105" s="12"/>
      <c r="AY105" s="12"/>
      <c r="AZ105" s="12"/>
      <c r="BA105" s="12"/>
      <c r="BB105" s="12"/>
      <c r="BC105" s="12"/>
      <c r="BD105" s="12"/>
      <c r="BE105" s="12"/>
      <c r="BF105" s="12"/>
      <c r="BG105" s="12"/>
      <c r="BH105" s="12"/>
      <c r="BI105" s="12"/>
      <c r="BJ105" s="26"/>
    </row>
    <row r="106" spans="2:62" ht="8.1" customHeight="1" x14ac:dyDescent="0.3">
      <c r="B106" s="20"/>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c r="BE106" s="12"/>
      <c r="BJ106" s="21"/>
    </row>
    <row r="107" spans="2:62" x14ac:dyDescent="0.3">
      <c r="B107" s="271" t="s">
        <v>11</v>
      </c>
      <c r="C107" s="96"/>
      <c r="D107" s="96"/>
      <c r="E107" s="96"/>
      <c r="F107" s="96"/>
      <c r="G107" s="27" t="s">
        <v>5</v>
      </c>
      <c r="H107" s="208" t="str">
        <f>IF(ISBLANK('Basic Information'!H34)," ",PROPER('Basic Information'!H34))</f>
        <v xml:space="preserve"> </v>
      </c>
      <c r="I107" s="209"/>
      <c r="J107" s="209"/>
      <c r="K107" s="209"/>
      <c r="L107" s="209"/>
      <c r="M107" s="209"/>
      <c r="N107" s="209"/>
      <c r="O107" s="209"/>
      <c r="P107" s="209"/>
      <c r="Q107" s="209"/>
      <c r="R107" s="209"/>
      <c r="S107" s="209"/>
      <c r="T107" s="209"/>
      <c r="U107" s="209"/>
      <c r="V107" s="209"/>
      <c r="W107" s="209"/>
      <c r="X107" s="209"/>
      <c r="Y107" s="209"/>
      <c r="Z107" s="12"/>
      <c r="AA107" s="12"/>
      <c r="AB107" s="12"/>
      <c r="AC107" s="12"/>
      <c r="AD107" s="12"/>
      <c r="AE107" s="12"/>
      <c r="AF107" s="304" t="s">
        <v>13</v>
      </c>
      <c r="AG107" s="96"/>
      <c r="AH107" s="96"/>
      <c r="AI107" s="96"/>
      <c r="AJ107" s="96"/>
      <c r="AK107" s="96"/>
      <c r="AL107" s="96"/>
      <c r="AM107" s="96"/>
      <c r="AN107" s="27" t="s">
        <v>5</v>
      </c>
      <c r="AO107" s="492" t="str">
        <f>PROPER(L5)</f>
        <v xml:space="preserve"> </v>
      </c>
      <c r="AP107" s="493"/>
      <c r="AQ107" s="493"/>
      <c r="AR107" s="493"/>
      <c r="AS107" s="493"/>
      <c r="AT107" s="493"/>
      <c r="AU107" s="493"/>
      <c r="AV107" s="493"/>
      <c r="AW107" s="493"/>
      <c r="AX107" s="493"/>
      <c r="AY107" s="493"/>
      <c r="AZ107" s="493"/>
      <c r="BA107" s="493"/>
      <c r="BB107" s="493"/>
      <c r="BC107" s="493"/>
      <c r="BD107" s="493"/>
      <c r="BE107" s="493"/>
      <c r="BF107" s="493"/>
      <c r="BG107" s="493"/>
      <c r="BH107" s="493"/>
      <c r="BI107" s="493"/>
      <c r="BJ107" s="21"/>
    </row>
    <row r="108" spans="2:62" ht="8.1" customHeight="1" x14ac:dyDescent="0.3">
      <c r="B108" s="20"/>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c r="BJ108" s="21"/>
    </row>
    <row r="109" spans="2:62" x14ac:dyDescent="0.3">
      <c r="B109" s="271" t="s">
        <v>12</v>
      </c>
      <c r="C109" s="96"/>
      <c r="D109" s="96"/>
      <c r="E109" s="96"/>
      <c r="F109" s="96"/>
      <c r="G109" s="27" t="s">
        <v>5</v>
      </c>
      <c r="H109" s="208" t="str">
        <f>IF(ISBLANK('Basic Information'!H36)," ",'Basic Information'!H36)</f>
        <v xml:space="preserve"> </v>
      </c>
      <c r="I109" s="209"/>
      <c r="J109" s="209"/>
      <c r="K109" s="209"/>
      <c r="L109" s="209"/>
      <c r="M109" s="209"/>
      <c r="N109" s="209"/>
      <c r="O109" s="209"/>
      <c r="P109" s="209"/>
      <c r="Q109" s="209"/>
      <c r="R109" s="209"/>
      <c r="S109" s="209"/>
      <c r="T109" s="12"/>
      <c r="U109" s="12"/>
      <c r="V109" s="12"/>
      <c r="W109" s="12"/>
      <c r="X109" s="12"/>
      <c r="Y109" s="12"/>
      <c r="Z109" s="12"/>
      <c r="AA109" s="12"/>
      <c r="AB109" s="12"/>
      <c r="AC109" s="12"/>
      <c r="AD109" s="12"/>
      <c r="AE109" s="12"/>
      <c r="AF109" s="304" t="s">
        <v>15</v>
      </c>
      <c r="AG109" s="96"/>
      <c r="AH109" s="96"/>
      <c r="AI109" s="96"/>
      <c r="AJ109" s="96"/>
      <c r="AK109" s="96"/>
      <c r="AL109" s="96"/>
      <c r="AM109" s="96"/>
      <c r="AN109" s="27" t="s">
        <v>5</v>
      </c>
      <c r="AO109" s="492" t="str">
        <f>PROPER(L7)</f>
        <v xml:space="preserve"> </v>
      </c>
      <c r="AP109" s="493"/>
      <c r="AQ109" s="493"/>
      <c r="AR109" s="493"/>
      <c r="AS109" s="493"/>
      <c r="AT109" s="493"/>
      <c r="AU109" s="493"/>
      <c r="AV109" s="493"/>
      <c r="AW109" s="493"/>
      <c r="AX109" s="493"/>
      <c r="AY109" s="493"/>
      <c r="AZ109" s="493"/>
      <c r="BA109" s="493"/>
      <c r="BB109" s="493"/>
      <c r="BC109" s="493"/>
      <c r="BD109" s="493"/>
      <c r="BE109" s="493"/>
      <c r="BF109" s="493"/>
      <c r="BG109" s="493"/>
      <c r="BH109" s="493"/>
      <c r="BI109" s="493"/>
      <c r="BJ109" s="21"/>
    </row>
    <row r="110" spans="2:62" ht="8.1" customHeight="1" x14ac:dyDescent="0.3">
      <c r="B110" s="20"/>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J110" s="21"/>
    </row>
    <row r="111" spans="2:62" x14ac:dyDescent="0.3">
      <c r="B111" s="20"/>
      <c r="C111" s="12"/>
      <c r="D111" s="12"/>
      <c r="E111" s="12"/>
      <c r="F111" s="12"/>
      <c r="G111" s="12"/>
      <c r="H111" s="12"/>
      <c r="I111" s="12"/>
      <c r="J111" s="12"/>
      <c r="K111" s="12"/>
      <c r="L111" s="12"/>
      <c r="M111" s="12"/>
      <c r="N111" s="12"/>
      <c r="O111" s="12"/>
      <c r="P111" s="12"/>
      <c r="Q111" s="12"/>
      <c r="R111" s="12"/>
      <c r="S111" s="12"/>
      <c r="T111" s="12"/>
      <c r="U111" s="12"/>
      <c r="V111" s="12"/>
      <c r="W111" s="12"/>
      <c r="X111" s="304" t="s">
        <v>6</v>
      </c>
      <c r="Y111" s="96"/>
      <c r="Z111" s="96"/>
      <c r="AA111" s="96"/>
      <c r="AB111" s="96"/>
      <c r="AC111" s="96"/>
      <c r="AD111" s="96"/>
      <c r="AE111" s="96"/>
      <c r="AF111" s="96"/>
      <c r="AG111" s="96"/>
      <c r="AH111" s="96"/>
      <c r="AI111" s="96"/>
      <c r="AJ111" s="96"/>
      <c r="AK111" s="12"/>
      <c r="AL111" s="12"/>
      <c r="AM111" s="12"/>
      <c r="AN111" s="12"/>
      <c r="AO111" s="12"/>
      <c r="AP111" s="12"/>
      <c r="AQ111" s="12"/>
      <c r="AR111" s="12"/>
      <c r="AS111" s="12"/>
      <c r="AT111" s="12"/>
      <c r="AU111" s="12"/>
      <c r="AV111" s="12"/>
      <c r="AW111" s="12"/>
      <c r="AX111" s="12"/>
      <c r="AY111" s="12"/>
      <c r="AZ111" s="12"/>
      <c r="BA111" s="12"/>
      <c r="BB111" s="12"/>
      <c r="BC111" s="12"/>
      <c r="BD111" s="12"/>
      <c r="BE111" s="12"/>
      <c r="BJ111" s="21"/>
    </row>
    <row r="112" spans="2:62" x14ac:dyDescent="0.3">
      <c r="B112" s="20"/>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c r="BJ112" s="21"/>
    </row>
    <row r="113" spans="2:62" ht="8.1" customHeight="1" x14ac:dyDescent="0.3">
      <c r="B113" s="20"/>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33" t="s">
        <v>7</v>
      </c>
      <c r="AP113" s="134"/>
      <c r="AQ113" s="134"/>
      <c r="AR113" s="134"/>
      <c r="AS113" s="134"/>
      <c r="AT113" s="134"/>
      <c r="AU113" s="134"/>
      <c r="AV113" s="134"/>
      <c r="AW113" s="134"/>
      <c r="AX113" s="134"/>
      <c r="AY113" s="134"/>
      <c r="AZ113" s="134"/>
      <c r="BA113" s="134"/>
      <c r="BB113" s="134"/>
      <c r="BC113" s="134"/>
      <c r="BD113" s="134"/>
      <c r="BE113" s="134"/>
      <c r="BF113" s="134"/>
      <c r="BG113" s="134"/>
      <c r="BH113" s="134"/>
      <c r="BI113" s="134"/>
      <c r="BJ113" s="21"/>
    </row>
    <row r="114" spans="2:62" x14ac:dyDescent="0.3">
      <c r="B114" s="20"/>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34"/>
      <c r="AP114" s="134"/>
      <c r="AQ114" s="134"/>
      <c r="AR114" s="134"/>
      <c r="AS114" s="134"/>
      <c r="AT114" s="134"/>
      <c r="AU114" s="134"/>
      <c r="AV114" s="134"/>
      <c r="AW114" s="134"/>
      <c r="AX114" s="134"/>
      <c r="AY114" s="134"/>
      <c r="AZ114" s="134"/>
      <c r="BA114" s="134"/>
      <c r="BB114" s="134"/>
      <c r="BC114" s="134"/>
      <c r="BD114" s="134"/>
      <c r="BE114" s="134"/>
      <c r="BF114" s="134"/>
      <c r="BG114" s="134"/>
      <c r="BH114" s="134"/>
      <c r="BI114" s="134"/>
      <c r="BJ114" s="21"/>
    </row>
    <row r="115" spans="2:62" ht="14.25" customHeight="1" x14ac:dyDescent="0.3">
      <c r="B115" s="20"/>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98" t="str">
        <f>IF(ISBLANK('Basic Information'!M3),"",PROPER('Basic Information'!M3))</f>
        <v/>
      </c>
      <c r="AP115" s="116"/>
      <c r="AQ115" s="116"/>
      <c r="AR115" s="116"/>
      <c r="AS115" s="116"/>
      <c r="AT115" s="116"/>
      <c r="AU115" s="116"/>
      <c r="AV115" s="116"/>
      <c r="AW115" s="116"/>
      <c r="AX115" s="116"/>
      <c r="AY115" s="116"/>
      <c r="AZ115" s="116"/>
      <c r="BA115" s="116"/>
      <c r="BB115" s="116"/>
      <c r="BC115" s="116"/>
      <c r="BD115" s="116"/>
      <c r="BE115" s="116"/>
      <c r="BF115" s="116"/>
      <c r="BG115" s="116"/>
      <c r="BH115" s="116"/>
      <c r="BI115" s="116"/>
      <c r="BJ115" s="21"/>
    </row>
    <row r="116" spans="2:62" ht="20.25" customHeight="1" x14ac:dyDescent="0.3">
      <c r="B116" s="22"/>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491"/>
      <c r="AP116" s="491"/>
      <c r="AQ116" s="491"/>
      <c r="AR116" s="491"/>
      <c r="AS116" s="491"/>
      <c r="AT116" s="491"/>
      <c r="AU116" s="491"/>
      <c r="AV116" s="491"/>
      <c r="AW116" s="491"/>
      <c r="AX116" s="491"/>
      <c r="AY116" s="491"/>
      <c r="AZ116" s="491"/>
      <c r="BA116" s="491"/>
      <c r="BB116" s="491"/>
      <c r="BC116" s="491"/>
      <c r="BD116" s="491"/>
      <c r="BE116" s="491"/>
      <c r="BF116" s="491"/>
      <c r="BG116" s="491"/>
      <c r="BH116" s="491"/>
      <c r="BI116" s="491"/>
      <c r="BJ116" s="23"/>
    </row>
    <row r="117" spans="2:62" x14ac:dyDescent="0.3">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row>
    <row r="118" spans="2:62" x14ac:dyDescent="0.3">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row>
    <row r="119" spans="2:62" x14ac:dyDescent="0.3">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row>
    <row r="120" spans="2:62" x14ac:dyDescent="0.3">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2"/>
    </row>
    <row r="121" spans="2:62" x14ac:dyDescent="0.3">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row>
    <row r="122" spans="2:62" x14ac:dyDescent="0.3">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2"/>
    </row>
    <row r="123" spans="2:62" x14ac:dyDescent="0.3">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2"/>
    </row>
    <row r="124" spans="2:62" x14ac:dyDescent="0.3">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2"/>
    </row>
    <row r="125" spans="2:62" x14ac:dyDescent="0.3">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2"/>
    </row>
    <row r="126" spans="2:62" x14ac:dyDescent="0.3">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c r="AR126" s="12"/>
      <c r="AS126" s="12"/>
      <c r="AT126" s="12"/>
      <c r="AU126" s="12"/>
      <c r="AV126" s="12"/>
      <c r="AW126" s="12"/>
      <c r="AX126" s="12"/>
      <c r="AY126" s="12"/>
      <c r="AZ126" s="12"/>
      <c r="BA126" s="12"/>
      <c r="BB126" s="12"/>
      <c r="BC126" s="12"/>
      <c r="BD126" s="12"/>
      <c r="BE126" s="12"/>
    </row>
    <row r="127" spans="2:62" x14ac:dyDescent="0.3">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2"/>
    </row>
    <row r="128" spans="2:62" x14ac:dyDescent="0.3">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c r="BE128" s="12"/>
    </row>
    <row r="129" spans="2:57" x14ac:dyDescent="0.3">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c r="BE129" s="12"/>
    </row>
    <row r="130" spans="2:57" x14ac:dyDescent="0.3">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2"/>
    </row>
    <row r="131" spans="2:57" x14ac:dyDescent="0.3">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c r="BE131" s="12"/>
    </row>
    <row r="132" spans="2:57" x14ac:dyDescent="0.3">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c r="BE132" s="12"/>
    </row>
    <row r="133" spans="2:57" x14ac:dyDescent="0.3">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c r="AR133" s="12"/>
      <c r="AS133" s="12"/>
      <c r="AT133" s="12"/>
      <c r="AU133" s="12"/>
      <c r="AV133" s="12"/>
      <c r="AW133" s="12"/>
      <c r="AX133" s="12"/>
      <c r="AY133" s="12"/>
      <c r="AZ133" s="12"/>
      <c r="BA133" s="12"/>
      <c r="BB133" s="12"/>
      <c r="BC133" s="12"/>
      <c r="BD133" s="12"/>
      <c r="BE133" s="12"/>
    </row>
    <row r="134" spans="2:57" x14ac:dyDescent="0.3">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c r="AR134" s="12"/>
      <c r="AS134" s="12"/>
      <c r="AT134" s="12"/>
      <c r="AU134" s="12"/>
      <c r="AV134" s="12"/>
      <c r="AW134" s="12"/>
      <c r="AX134" s="12"/>
      <c r="AY134" s="12"/>
      <c r="AZ134" s="12"/>
      <c r="BA134" s="12"/>
      <c r="BB134" s="12"/>
      <c r="BC134" s="12"/>
      <c r="BD134" s="12"/>
      <c r="BE134" s="12"/>
    </row>
    <row r="135" spans="2:57" x14ac:dyDescent="0.3">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c r="AR135" s="12"/>
      <c r="AS135" s="12"/>
      <c r="AT135" s="12"/>
      <c r="AU135" s="12"/>
      <c r="AV135" s="12"/>
      <c r="AW135" s="12"/>
      <c r="AX135" s="12"/>
      <c r="AY135" s="12"/>
      <c r="AZ135" s="12"/>
      <c r="BA135" s="12"/>
      <c r="BB135" s="12"/>
      <c r="BC135" s="12"/>
      <c r="BD135" s="12"/>
      <c r="BE135" s="12"/>
    </row>
    <row r="136" spans="2:57" x14ac:dyDescent="0.3">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c r="AR136" s="12"/>
      <c r="AS136" s="12"/>
      <c r="AT136" s="12"/>
      <c r="AU136" s="12"/>
      <c r="AV136" s="12"/>
      <c r="AW136" s="12"/>
      <c r="AX136" s="12"/>
      <c r="AY136" s="12"/>
      <c r="AZ136" s="12"/>
      <c r="BA136" s="12"/>
      <c r="BB136" s="12"/>
      <c r="BC136" s="12"/>
      <c r="BD136" s="12"/>
      <c r="BE136" s="12"/>
    </row>
    <row r="137" spans="2:57" x14ac:dyDescent="0.3">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c r="BE137" s="12"/>
    </row>
    <row r="138" spans="2:57" x14ac:dyDescent="0.3">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2"/>
      <c r="BE138" s="12"/>
    </row>
    <row r="139" spans="2:57" x14ac:dyDescent="0.3">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c r="AR139" s="12"/>
      <c r="AS139" s="12"/>
      <c r="AT139" s="12"/>
      <c r="AU139" s="12"/>
      <c r="AV139" s="12"/>
      <c r="AW139" s="12"/>
      <c r="AX139" s="12"/>
      <c r="AY139" s="12"/>
      <c r="AZ139" s="12"/>
      <c r="BA139" s="12"/>
      <c r="BB139" s="12"/>
      <c r="BC139" s="12"/>
      <c r="BD139" s="12"/>
      <c r="BE139" s="12"/>
    </row>
    <row r="140" spans="2:57" x14ac:dyDescent="0.3">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c r="AR140" s="12"/>
      <c r="AS140" s="12"/>
      <c r="AT140" s="12"/>
      <c r="AU140" s="12"/>
      <c r="AV140" s="12"/>
      <c r="AW140" s="12"/>
      <c r="AX140" s="12"/>
      <c r="AY140" s="12"/>
      <c r="AZ140" s="12"/>
      <c r="BA140" s="12"/>
      <c r="BB140" s="12"/>
      <c r="BC140" s="12"/>
      <c r="BD140" s="12"/>
      <c r="BE140" s="12"/>
    </row>
    <row r="141" spans="2:57" x14ac:dyDescent="0.3">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2"/>
    </row>
    <row r="142" spans="2:57" x14ac:dyDescent="0.3">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c r="BE142" s="12"/>
    </row>
    <row r="143" spans="2:57" x14ac:dyDescent="0.3">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c r="AR143" s="12"/>
      <c r="AS143" s="12"/>
      <c r="AT143" s="12"/>
      <c r="AU143" s="12"/>
      <c r="AV143" s="12"/>
      <c r="AW143" s="12"/>
      <c r="AX143" s="12"/>
      <c r="AY143" s="12"/>
      <c r="AZ143" s="12"/>
      <c r="BA143" s="12"/>
      <c r="BB143" s="12"/>
      <c r="BC143" s="12"/>
      <c r="BD143" s="12"/>
      <c r="BE143" s="12"/>
    </row>
    <row r="144" spans="2:57" x14ac:dyDescent="0.3">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c r="AR144" s="12"/>
      <c r="AS144" s="12"/>
      <c r="AT144" s="12"/>
      <c r="AU144" s="12"/>
      <c r="AV144" s="12"/>
      <c r="AW144" s="12"/>
      <c r="AX144" s="12"/>
      <c r="AY144" s="12"/>
      <c r="AZ144" s="12"/>
      <c r="BA144" s="12"/>
      <c r="BB144" s="12"/>
      <c r="BC144" s="12"/>
      <c r="BD144" s="12"/>
      <c r="BE144" s="12"/>
    </row>
    <row r="145" spans="2:57" x14ac:dyDescent="0.3">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c r="AR145" s="12"/>
      <c r="AS145" s="12"/>
      <c r="AT145" s="12"/>
      <c r="AU145" s="12"/>
      <c r="AV145" s="12"/>
      <c r="AW145" s="12"/>
      <c r="AX145" s="12"/>
      <c r="AY145" s="12"/>
      <c r="AZ145" s="12"/>
      <c r="BA145" s="12"/>
      <c r="BB145" s="12"/>
      <c r="BC145" s="12"/>
      <c r="BD145" s="12"/>
      <c r="BE145" s="12"/>
    </row>
    <row r="146" spans="2:57" x14ac:dyDescent="0.3">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c r="AR146" s="12"/>
      <c r="AS146" s="12"/>
      <c r="AT146" s="12"/>
      <c r="AU146" s="12"/>
      <c r="AV146" s="12"/>
      <c r="AW146" s="12"/>
      <c r="AX146" s="12"/>
      <c r="AY146" s="12"/>
      <c r="AZ146" s="12"/>
      <c r="BA146" s="12"/>
      <c r="BB146" s="12"/>
      <c r="BC146" s="12"/>
      <c r="BD146" s="12"/>
      <c r="BE146" s="12"/>
    </row>
    <row r="147" spans="2:57" x14ac:dyDescent="0.3">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c r="AR147" s="12"/>
      <c r="AS147" s="12"/>
      <c r="AT147" s="12"/>
      <c r="AU147" s="12"/>
      <c r="AV147" s="12"/>
      <c r="AW147" s="12"/>
      <c r="AX147" s="12"/>
      <c r="AY147" s="12"/>
      <c r="AZ147" s="12"/>
      <c r="BA147" s="12"/>
      <c r="BB147" s="12"/>
      <c r="BC147" s="12"/>
      <c r="BD147" s="12"/>
      <c r="BE147" s="12"/>
    </row>
    <row r="148" spans="2:57" x14ac:dyDescent="0.3">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c r="AR148" s="12"/>
      <c r="AS148" s="12"/>
      <c r="AT148" s="12"/>
      <c r="AU148" s="12"/>
      <c r="AV148" s="12"/>
      <c r="AW148" s="12"/>
      <c r="AX148" s="12"/>
      <c r="AY148" s="12"/>
      <c r="AZ148" s="12"/>
      <c r="BA148" s="12"/>
      <c r="BB148" s="12"/>
      <c r="BC148" s="12"/>
      <c r="BD148" s="12"/>
      <c r="BE148" s="12"/>
    </row>
    <row r="149" spans="2:57" x14ac:dyDescent="0.3">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c r="AR149" s="12"/>
      <c r="AS149" s="12"/>
      <c r="AT149" s="12"/>
      <c r="AU149" s="12"/>
      <c r="AV149" s="12"/>
      <c r="AW149" s="12"/>
      <c r="AX149" s="12"/>
      <c r="AY149" s="12"/>
      <c r="AZ149" s="12"/>
      <c r="BA149" s="12"/>
      <c r="BB149" s="12"/>
      <c r="BC149" s="12"/>
      <c r="BD149" s="12"/>
      <c r="BE149" s="12"/>
    </row>
    <row r="150" spans="2:57" x14ac:dyDescent="0.3">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c r="AR150" s="12"/>
      <c r="AS150" s="12"/>
      <c r="AT150" s="12"/>
      <c r="AU150" s="12"/>
      <c r="AV150" s="12"/>
      <c r="AW150" s="12"/>
      <c r="AX150" s="12"/>
      <c r="AY150" s="12"/>
      <c r="AZ150" s="12"/>
      <c r="BA150" s="12"/>
      <c r="BB150" s="12"/>
      <c r="BC150" s="12"/>
      <c r="BD150" s="12"/>
      <c r="BE150" s="12"/>
    </row>
    <row r="151" spans="2:57" x14ac:dyDescent="0.3">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12"/>
      <c r="AP151" s="12"/>
      <c r="AQ151" s="12"/>
      <c r="AR151" s="12"/>
      <c r="AS151" s="12"/>
      <c r="AT151" s="12"/>
      <c r="AU151" s="12"/>
      <c r="AV151" s="12"/>
      <c r="AW151" s="12"/>
      <c r="AX151" s="12"/>
      <c r="AY151" s="12"/>
      <c r="AZ151" s="12"/>
      <c r="BA151" s="12"/>
      <c r="BB151" s="12"/>
      <c r="BC151" s="12"/>
      <c r="BD151" s="12"/>
      <c r="BE151" s="12"/>
    </row>
    <row r="152" spans="2:57" x14ac:dyDescent="0.3">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c r="AQ152" s="12"/>
      <c r="AR152" s="12"/>
      <c r="AS152" s="12"/>
      <c r="AT152" s="12"/>
      <c r="AU152" s="12"/>
      <c r="AV152" s="12"/>
      <c r="AW152" s="12"/>
      <c r="AX152" s="12"/>
      <c r="AY152" s="12"/>
      <c r="AZ152" s="12"/>
      <c r="BA152" s="12"/>
      <c r="BB152" s="12"/>
      <c r="BC152" s="12"/>
      <c r="BD152" s="12"/>
      <c r="BE152" s="12"/>
    </row>
    <row r="153" spans="2:57" x14ac:dyDescent="0.3">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c r="AR153" s="12"/>
      <c r="AS153" s="12"/>
      <c r="AT153" s="12"/>
      <c r="AU153" s="12"/>
      <c r="AV153" s="12"/>
      <c r="AW153" s="12"/>
      <c r="AX153" s="12"/>
      <c r="AY153" s="12"/>
      <c r="AZ153" s="12"/>
      <c r="BA153" s="12"/>
      <c r="BB153" s="12"/>
      <c r="BC153" s="12"/>
      <c r="BD153" s="12"/>
      <c r="BE153" s="12"/>
    </row>
    <row r="154" spans="2:57" x14ac:dyDescent="0.3">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c r="AR154" s="12"/>
      <c r="AS154" s="12"/>
      <c r="AT154" s="12"/>
      <c r="AU154" s="12"/>
      <c r="AV154" s="12"/>
      <c r="AW154" s="12"/>
      <c r="AX154" s="12"/>
      <c r="AY154" s="12"/>
      <c r="AZ154" s="12"/>
      <c r="BA154" s="12"/>
      <c r="BB154" s="12"/>
      <c r="BC154" s="12"/>
      <c r="BD154" s="12"/>
      <c r="BE154" s="12"/>
    </row>
    <row r="155" spans="2:57" x14ac:dyDescent="0.3">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c r="AR155" s="12"/>
      <c r="AS155" s="12"/>
      <c r="AT155" s="12"/>
      <c r="AU155" s="12"/>
      <c r="AV155" s="12"/>
      <c r="AW155" s="12"/>
      <c r="AX155" s="12"/>
      <c r="AY155" s="12"/>
      <c r="AZ155" s="12"/>
      <c r="BA155" s="12"/>
      <c r="BB155" s="12"/>
      <c r="BC155" s="12"/>
      <c r="BD155" s="12"/>
      <c r="BE155" s="12"/>
    </row>
    <row r="156" spans="2:57" x14ac:dyDescent="0.3">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2"/>
      <c r="AP156" s="12"/>
      <c r="AQ156" s="12"/>
      <c r="AR156" s="12"/>
      <c r="AS156" s="12"/>
      <c r="AT156" s="12"/>
      <c r="AU156" s="12"/>
      <c r="AV156" s="12"/>
      <c r="AW156" s="12"/>
      <c r="AX156" s="12"/>
      <c r="AY156" s="12"/>
      <c r="AZ156" s="12"/>
      <c r="BA156" s="12"/>
      <c r="BB156" s="12"/>
      <c r="BC156" s="12"/>
      <c r="BD156" s="12"/>
      <c r="BE156" s="12"/>
    </row>
    <row r="157" spans="2:57" x14ac:dyDescent="0.3">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c r="AQ157" s="12"/>
      <c r="AR157" s="12"/>
      <c r="AS157" s="12"/>
      <c r="AT157" s="12"/>
      <c r="AU157" s="12"/>
      <c r="AV157" s="12"/>
      <c r="AW157" s="12"/>
      <c r="AX157" s="12"/>
      <c r="AY157" s="12"/>
      <c r="AZ157" s="12"/>
      <c r="BA157" s="12"/>
      <c r="BB157" s="12"/>
      <c r="BC157" s="12"/>
      <c r="BD157" s="12"/>
      <c r="BE157" s="12"/>
    </row>
    <row r="158" spans="2:57" x14ac:dyDescent="0.3">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c r="AQ158" s="12"/>
      <c r="AR158" s="12"/>
      <c r="AS158" s="12"/>
      <c r="AT158" s="12"/>
      <c r="AU158" s="12"/>
      <c r="AV158" s="12"/>
      <c r="AW158" s="12"/>
      <c r="AX158" s="12"/>
      <c r="AY158" s="12"/>
      <c r="AZ158" s="12"/>
      <c r="BA158" s="12"/>
      <c r="BB158" s="12"/>
      <c r="BC158" s="12"/>
      <c r="BD158" s="12"/>
      <c r="BE158" s="12"/>
    </row>
    <row r="159" spans="2:57" x14ac:dyDescent="0.3">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12"/>
      <c r="AP159" s="12"/>
      <c r="AQ159" s="12"/>
      <c r="AR159" s="12"/>
      <c r="AS159" s="12"/>
      <c r="AT159" s="12"/>
      <c r="AU159" s="12"/>
      <c r="AV159" s="12"/>
      <c r="AW159" s="12"/>
      <c r="AX159" s="12"/>
      <c r="AY159" s="12"/>
      <c r="AZ159" s="12"/>
      <c r="BA159" s="12"/>
      <c r="BB159" s="12"/>
      <c r="BC159" s="12"/>
      <c r="BD159" s="12"/>
      <c r="BE159" s="12"/>
    </row>
    <row r="160" spans="2:57" x14ac:dyDescent="0.3">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c r="AR160" s="12"/>
      <c r="AS160" s="12"/>
      <c r="AT160" s="12"/>
      <c r="AU160" s="12"/>
      <c r="AV160" s="12"/>
      <c r="AW160" s="12"/>
      <c r="AX160" s="12"/>
      <c r="AY160" s="12"/>
      <c r="AZ160" s="12"/>
      <c r="BA160" s="12"/>
      <c r="BB160" s="12"/>
      <c r="BC160" s="12"/>
      <c r="BD160" s="12"/>
      <c r="BE160" s="12"/>
    </row>
    <row r="161" spans="2:57" x14ac:dyDescent="0.3">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12"/>
      <c r="AR161" s="12"/>
      <c r="AS161" s="12"/>
      <c r="AT161" s="12"/>
      <c r="AU161" s="12"/>
      <c r="AV161" s="12"/>
      <c r="AW161" s="12"/>
      <c r="AX161" s="12"/>
      <c r="AY161" s="12"/>
      <c r="AZ161" s="12"/>
      <c r="BA161" s="12"/>
      <c r="BB161" s="12"/>
      <c r="BC161" s="12"/>
      <c r="BD161" s="12"/>
      <c r="BE161" s="12"/>
    </row>
    <row r="162" spans="2:57" x14ac:dyDescent="0.3">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c r="AQ162" s="12"/>
      <c r="AR162" s="12"/>
      <c r="AS162" s="12"/>
      <c r="AT162" s="12"/>
      <c r="AU162" s="12"/>
      <c r="AV162" s="12"/>
      <c r="AW162" s="12"/>
      <c r="AX162" s="12"/>
      <c r="AY162" s="12"/>
      <c r="AZ162" s="12"/>
      <c r="BA162" s="12"/>
      <c r="BB162" s="12"/>
      <c r="BC162" s="12"/>
      <c r="BD162" s="12"/>
      <c r="BE162" s="12"/>
    </row>
    <row r="163" spans="2:57" x14ac:dyDescent="0.3">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12"/>
      <c r="AP163" s="12"/>
      <c r="AQ163" s="12"/>
      <c r="AR163" s="12"/>
      <c r="AS163" s="12"/>
      <c r="AT163" s="12"/>
      <c r="AU163" s="12"/>
      <c r="AV163" s="12"/>
      <c r="AW163" s="12"/>
      <c r="AX163" s="12"/>
      <c r="AY163" s="12"/>
      <c r="AZ163" s="12"/>
      <c r="BA163" s="12"/>
      <c r="BB163" s="12"/>
      <c r="BC163" s="12"/>
      <c r="BD163" s="12"/>
      <c r="BE163" s="12"/>
    </row>
    <row r="164" spans="2:57" x14ac:dyDescent="0.3">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12"/>
      <c r="AP164" s="12"/>
      <c r="AQ164" s="12"/>
      <c r="AR164" s="12"/>
      <c r="AS164" s="12"/>
      <c r="AT164" s="12"/>
      <c r="AU164" s="12"/>
      <c r="AV164" s="12"/>
      <c r="AW164" s="12"/>
      <c r="AX164" s="12"/>
      <c r="AY164" s="12"/>
      <c r="AZ164" s="12"/>
      <c r="BA164" s="12"/>
      <c r="BB164" s="12"/>
      <c r="BC164" s="12"/>
      <c r="BD164" s="12"/>
      <c r="BE164" s="12"/>
    </row>
    <row r="165" spans="2:57" x14ac:dyDescent="0.3">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c r="AR165" s="12"/>
      <c r="AS165" s="12"/>
      <c r="AT165" s="12"/>
      <c r="AU165" s="12"/>
      <c r="AV165" s="12"/>
      <c r="AW165" s="12"/>
      <c r="AX165" s="12"/>
      <c r="AY165" s="12"/>
      <c r="AZ165" s="12"/>
      <c r="BA165" s="12"/>
      <c r="BB165" s="12"/>
      <c r="BC165" s="12"/>
      <c r="BD165" s="12"/>
      <c r="BE165" s="12"/>
    </row>
    <row r="166" spans="2:57" x14ac:dyDescent="0.3">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c r="AR166" s="12"/>
      <c r="AS166" s="12"/>
      <c r="AT166" s="12"/>
      <c r="AU166" s="12"/>
      <c r="AV166" s="12"/>
      <c r="AW166" s="12"/>
      <c r="AX166" s="12"/>
      <c r="AY166" s="12"/>
      <c r="AZ166" s="12"/>
      <c r="BA166" s="12"/>
      <c r="BB166" s="12"/>
      <c r="BC166" s="12"/>
      <c r="BD166" s="12"/>
      <c r="BE166" s="12"/>
    </row>
    <row r="167" spans="2:57" x14ac:dyDescent="0.3">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c r="AR167" s="12"/>
      <c r="AS167" s="12"/>
      <c r="AT167" s="12"/>
      <c r="AU167" s="12"/>
      <c r="AV167" s="12"/>
      <c r="AW167" s="12"/>
      <c r="AX167" s="12"/>
      <c r="AY167" s="12"/>
      <c r="AZ167" s="12"/>
      <c r="BA167" s="12"/>
      <c r="BB167" s="12"/>
      <c r="BC167" s="12"/>
      <c r="BD167" s="12"/>
      <c r="BE167" s="12"/>
    </row>
    <row r="168" spans="2:57" x14ac:dyDescent="0.3">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c r="AR168" s="12"/>
      <c r="AS168" s="12"/>
      <c r="AT168" s="12"/>
      <c r="AU168" s="12"/>
      <c r="AV168" s="12"/>
      <c r="AW168" s="12"/>
      <c r="AX168" s="12"/>
      <c r="AY168" s="12"/>
      <c r="AZ168" s="12"/>
      <c r="BA168" s="12"/>
      <c r="BB168" s="12"/>
      <c r="BC168" s="12"/>
      <c r="BD168" s="12"/>
      <c r="BE168" s="12"/>
    </row>
    <row r="169" spans="2:57" x14ac:dyDescent="0.3">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c r="AR169" s="12"/>
      <c r="AS169" s="12"/>
      <c r="AT169" s="12"/>
      <c r="AU169" s="12"/>
      <c r="AV169" s="12"/>
      <c r="AW169" s="12"/>
      <c r="AX169" s="12"/>
      <c r="AY169" s="12"/>
      <c r="AZ169" s="12"/>
      <c r="BA169" s="12"/>
      <c r="BB169" s="12"/>
      <c r="BC169" s="12"/>
      <c r="BD169" s="12"/>
      <c r="BE169" s="12"/>
    </row>
    <row r="170" spans="2:57" x14ac:dyDescent="0.3">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2"/>
      <c r="AP170" s="12"/>
      <c r="AQ170" s="12"/>
      <c r="AR170" s="12"/>
      <c r="AS170" s="12"/>
      <c r="AT170" s="12"/>
      <c r="AU170" s="12"/>
      <c r="AV170" s="12"/>
      <c r="AW170" s="12"/>
      <c r="AX170" s="12"/>
      <c r="AY170" s="12"/>
      <c r="AZ170" s="12"/>
      <c r="BA170" s="12"/>
      <c r="BB170" s="12"/>
      <c r="BC170" s="12"/>
      <c r="BD170" s="12"/>
      <c r="BE170" s="12"/>
    </row>
    <row r="171" spans="2:57" x14ac:dyDescent="0.3">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12"/>
      <c r="AN171" s="12"/>
      <c r="AO171" s="12"/>
      <c r="AP171" s="12"/>
      <c r="AQ171" s="12"/>
      <c r="AR171" s="12"/>
      <c r="AS171" s="12"/>
      <c r="AT171" s="12"/>
      <c r="AU171" s="12"/>
      <c r="AV171" s="12"/>
      <c r="AW171" s="12"/>
      <c r="AX171" s="12"/>
      <c r="AY171" s="12"/>
      <c r="AZ171" s="12"/>
      <c r="BA171" s="12"/>
      <c r="BB171" s="12"/>
      <c r="BC171" s="12"/>
      <c r="BD171" s="12"/>
      <c r="BE171" s="12"/>
    </row>
    <row r="172" spans="2:57" x14ac:dyDescent="0.3">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c r="AQ172" s="12"/>
      <c r="AR172" s="12"/>
      <c r="AS172" s="12"/>
      <c r="AT172" s="12"/>
      <c r="AU172" s="12"/>
      <c r="AV172" s="12"/>
      <c r="AW172" s="12"/>
      <c r="AX172" s="12"/>
      <c r="AY172" s="12"/>
      <c r="AZ172" s="12"/>
      <c r="BA172" s="12"/>
      <c r="BB172" s="12"/>
      <c r="BC172" s="12"/>
      <c r="BD172" s="12"/>
      <c r="BE172" s="12"/>
    </row>
    <row r="173" spans="2:57" x14ac:dyDescent="0.3">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2"/>
      <c r="AP173" s="12"/>
      <c r="AQ173" s="12"/>
      <c r="AR173" s="12"/>
      <c r="AS173" s="12"/>
      <c r="AT173" s="12"/>
      <c r="AU173" s="12"/>
      <c r="AV173" s="12"/>
      <c r="AW173" s="12"/>
      <c r="AX173" s="12"/>
      <c r="AY173" s="12"/>
      <c r="AZ173" s="12"/>
      <c r="BA173" s="12"/>
      <c r="BB173" s="12"/>
      <c r="BC173" s="12"/>
      <c r="BD173" s="12"/>
      <c r="BE173" s="12"/>
    </row>
    <row r="174" spans="2:57" x14ac:dyDescent="0.3">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c r="AR174" s="12"/>
      <c r="AS174" s="12"/>
      <c r="AT174" s="12"/>
      <c r="AU174" s="12"/>
      <c r="AV174" s="12"/>
      <c r="AW174" s="12"/>
      <c r="AX174" s="12"/>
      <c r="AY174" s="12"/>
      <c r="AZ174" s="12"/>
      <c r="BA174" s="12"/>
      <c r="BB174" s="12"/>
      <c r="BC174" s="12"/>
      <c r="BD174" s="12"/>
      <c r="BE174" s="12"/>
    </row>
    <row r="175" spans="2:57" x14ac:dyDescent="0.3">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12"/>
      <c r="AP175" s="12"/>
      <c r="AQ175" s="12"/>
      <c r="AR175" s="12"/>
      <c r="AS175" s="12"/>
      <c r="AT175" s="12"/>
      <c r="AU175" s="12"/>
      <c r="AV175" s="12"/>
      <c r="AW175" s="12"/>
      <c r="AX175" s="12"/>
      <c r="AY175" s="12"/>
      <c r="AZ175" s="12"/>
      <c r="BA175" s="12"/>
      <c r="BB175" s="12"/>
      <c r="BC175" s="12"/>
      <c r="BD175" s="12"/>
      <c r="BE175" s="12"/>
    </row>
    <row r="176" spans="2:57" x14ac:dyDescent="0.3">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12"/>
      <c r="AP176" s="12"/>
      <c r="AQ176" s="12"/>
      <c r="AR176" s="12"/>
      <c r="AS176" s="12"/>
      <c r="AT176" s="12"/>
      <c r="AU176" s="12"/>
      <c r="AV176" s="12"/>
      <c r="AW176" s="12"/>
      <c r="AX176" s="12"/>
      <c r="AY176" s="12"/>
      <c r="AZ176" s="12"/>
      <c r="BA176" s="12"/>
      <c r="BB176" s="12"/>
      <c r="BC176" s="12"/>
      <c r="BD176" s="12"/>
      <c r="BE176" s="12"/>
    </row>
    <row r="177" spans="2:57" x14ac:dyDescent="0.3">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2"/>
      <c r="AP177" s="12"/>
      <c r="AQ177" s="12"/>
      <c r="AR177" s="12"/>
      <c r="AS177" s="12"/>
      <c r="AT177" s="12"/>
      <c r="AU177" s="12"/>
      <c r="AV177" s="12"/>
      <c r="AW177" s="12"/>
      <c r="AX177" s="12"/>
      <c r="AY177" s="12"/>
      <c r="AZ177" s="12"/>
      <c r="BA177" s="12"/>
      <c r="BB177" s="12"/>
      <c r="BC177" s="12"/>
      <c r="BD177" s="12"/>
      <c r="BE177" s="12"/>
    </row>
    <row r="178" spans="2:57" x14ac:dyDescent="0.3">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12"/>
      <c r="AP178" s="12"/>
      <c r="AQ178" s="12"/>
      <c r="AR178" s="12"/>
      <c r="AS178" s="12"/>
      <c r="AT178" s="12"/>
      <c r="AU178" s="12"/>
      <c r="AV178" s="12"/>
      <c r="AW178" s="12"/>
      <c r="AX178" s="12"/>
      <c r="AY178" s="12"/>
      <c r="AZ178" s="12"/>
      <c r="BA178" s="12"/>
      <c r="BB178" s="12"/>
      <c r="BC178" s="12"/>
      <c r="BD178" s="12"/>
      <c r="BE178" s="12"/>
    </row>
    <row r="179" spans="2:57" x14ac:dyDescent="0.3">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c r="AN179" s="12"/>
      <c r="AO179" s="12"/>
      <c r="AP179" s="12"/>
      <c r="AQ179" s="12"/>
      <c r="AR179" s="12"/>
      <c r="AS179" s="12"/>
      <c r="AT179" s="12"/>
      <c r="AU179" s="12"/>
      <c r="AV179" s="12"/>
      <c r="AW179" s="12"/>
      <c r="AX179" s="12"/>
      <c r="AY179" s="12"/>
      <c r="AZ179" s="12"/>
      <c r="BA179" s="12"/>
      <c r="BB179" s="12"/>
      <c r="BC179" s="12"/>
      <c r="BD179" s="12"/>
      <c r="BE179" s="12"/>
    </row>
    <row r="180" spans="2:57" x14ac:dyDescent="0.3">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c r="AQ180" s="12"/>
      <c r="AR180" s="12"/>
      <c r="AS180" s="12"/>
      <c r="AT180" s="12"/>
      <c r="AU180" s="12"/>
      <c r="AV180" s="12"/>
      <c r="AW180" s="12"/>
      <c r="AX180" s="12"/>
      <c r="AY180" s="12"/>
      <c r="AZ180" s="12"/>
      <c r="BA180" s="12"/>
      <c r="BB180" s="12"/>
      <c r="BC180" s="12"/>
      <c r="BD180" s="12"/>
      <c r="BE180" s="12"/>
    </row>
    <row r="181" spans="2:57" x14ac:dyDescent="0.3">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c r="AQ181" s="12"/>
      <c r="AR181" s="12"/>
      <c r="AS181" s="12"/>
      <c r="AT181" s="12"/>
      <c r="AU181" s="12"/>
      <c r="AV181" s="12"/>
      <c r="AW181" s="12"/>
      <c r="AX181" s="12"/>
      <c r="AY181" s="12"/>
      <c r="AZ181" s="12"/>
      <c r="BA181" s="12"/>
      <c r="BB181" s="12"/>
      <c r="BC181" s="12"/>
      <c r="BD181" s="12"/>
      <c r="BE181" s="12"/>
    </row>
    <row r="182" spans="2:57" x14ac:dyDescent="0.3">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c r="AQ182" s="12"/>
      <c r="AR182" s="12"/>
      <c r="AS182" s="12"/>
      <c r="AT182" s="12"/>
      <c r="AU182" s="12"/>
      <c r="AV182" s="12"/>
      <c r="AW182" s="12"/>
      <c r="AX182" s="12"/>
      <c r="AY182" s="12"/>
      <c r="AZ182" s="12"/>
      <c r="BA182" s="12"/>
      <c r="BB182" s="12"/>
      <c r="BC182" s="12"/>
      <c r="BD182" s="12"/>
      <c r="BE182" s="12"/>
    </row>
    <row r="183" spans="2:57" x14ac:dyDescent="0.3">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2"/>
      <c r="AR183" s="12"/>
      <c r="AS183" s="12"/>
      <c r="AT183" s="12"/>
      <c r="AU183" s="12"/>
      <c r="AV183" s="12"/>
      <c r="AW183" s="12"/>
      <c r="AX183" s="12"/>
      <c r="AY183" s="12"/>
      <c r="AZ183" s="12"/>
      <c r="BA183" s="12"/>
      <c r="BB183" s="12"/>
      <c r="BC183" s="12"/>
      <c r="BD183" s="12"/>
      <c r="BE183" s="12"/>
    </row>
    <row r="184" spans="2:57" x14ac:dyDescent="0.3">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c r="AR184" s="12"/>
      <c r="AS184" s="12"/>
      <c r="AT184" s="12"/>
      <c r="AU184" s="12"/>
      <c r="AV184" s="12"/>
      <c r="AW184" s="12"/>
      <c r="AX184" s="12"/>
      <c r="AY184" s="12"/>
      <c r="AZ184" s="12"/>
      <c r="BA184" s="12"/>
      <c r="BB184" s="12"/>
      <c r="BC184" s="12"/>
      <c r="BD184" s="12"/>
      <c r="BE184" s="12"/>
    </row>
    <row r="185" spans="2:57" x14ac:dyDescent="0.3">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c r="AR185" s="12"/>
      <c r="AS185" s="12"/>
      <c r="AT185" s="12"/>
      <c r="AU185" s="12"/>
      <c r="AV185" s="12"/>
      <c r="AW185" s="12"/>
      <c r="AX185" s="12"/>
      <c r="AY185" s="12"/>
      <c r="AZ185" s="12"/>
      <c r="BA185" s="12"/>
      <c r="BB185" s="12"/>
      <c r="BC185" s="12"/>
      <c r="BD185" s="12"/>
      <c r="BE185" s="12"/>
    </row>
    <row r="186" spans="2:57" x14ac:dyDescent="0.3">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c r="AR186" s="12"/>
      <c r="AS186" s="12"/>
      <c r="AT186" s="12"/>
      <c r="AU186" s="12"/>
      <c r="AV186" s="12"/>
      <c r="AW186" s="12"/>
      <c r="AX186" s="12"/>
      <c r="AY186" s="12"/>
      <c r="AZ186" s="12"/>
      <c r="BA186" s="12"/>
      <c r="BB186" s="12"/>
      <c r="BC186" s="12"/>
      <c r="BD186" s="12"/>
      <c r="BE186" s="12"/>
    </row>
    <row r="187" spans="2:57" x14ac:dyDescent="0.3">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c r="AR187" s="12"/>
      <c r="AS187" s="12"/>
      <c r="AT187" s="12"/>
      <c r="AU187" s="12"/>
      <c r="AV187" s="12"/>
      <c r="AW187" s="12"/>
      <c r="AX187" s="12"/>
      <c r="AY187" s="12"/>
      <c r="AZ187" s="12"/>
      <c r="BA187" s="12"/>
      <c r="BB187" s="12"/>
      <c r="BC187" s="12"/>
      <c r="BD187" s="12"/>
      <c r="BE187" s="12"/>
    </row>
    <row r="188" spans="2:57" x14ac:dyDescent="0.3">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c r="AR188" s="12"/>
      <c r="AS188" s="12"/>
      <c r="AT188" s="12"/>
      <c r="AU188" s="12"/>
      <c r="AV188" s="12"/>
      <c r="AW188" s="12"/>
      <c r="AX188" s="12"/>
      <c r="AY188" s="12"/>
      <c r="AZ188" s="12"/>
      <c r="BA188" s="12"/>
      <c r="BB188" s="12"/>
      <c r="BC188" s="12"/>
      <c r="BD188" s="12"/>
      <c r="BE188" s="12"/>
    </row>
    <row r="189" spans="2:57" x14ac:dyDescent="0.3">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c r="AR189" s="12"/>
      <c r="AS189" s="12"/>
      <c r="AT189" s="12"/>
      <c r="AU189" s="12"/>
      <c r="AV189" s="12"/>
      <c r="AW189" s="12"/>
      <c r="AX189" s="12"/>
      <c r="AY189" s="12"/>
      <c r="AZ189" s="12"/>
      <c r="BA189" s="12"/>
      <c r="BB189" s="12"/>
      <c r="BC189" s="12"/>
      <c r="BD189" s="12"/>
      <c r="BE189" s="12"/>
    </row>
    <row r="190" spans="2:57" x14ac:dyDescent="0.3">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c r="AR190" s="12"/>
      <c r="AS190" s="12"/>
      <c r="AT190" s="12"/>
      <c r="AU190" s="12"/>
      <c r="AV190" s="12"/>
      <c r="AW190" s="12"/>
      <c r="AX190" s="12"/>
      <c r="AY190" s="12"/>
      <c r="AZ190" s="12"/>
      <c r="BA190" s="12"/>
      <c r="BB190" s="12"/>
      <c r="BC190" s="12"/>
      <c r="BD190" s="12"/>
      <c r="BE190" s="12"/>
    </row>
    <row r="191" spans="2:57" x14ac:dyDescent="0.3">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c r="AR191" s="12"/>
      <c r="AS191" s="12"/>
      <c r="AT191" s="12"/>
      <c r="AU191" s="12"/>
      <c r="AV191" s="12"/>
      <c r="AW191" s="12"/>
      <c r="AX191" s="12"/>
      <c r="AY191" s="12"/>
      <c r="AZ191" s="12"/>
      <c r="BA191" s="12"/>
      <c r="BB191" s="12"/>
      <c r="BC191" s="12"/>
      <c r="BD191" s="12"/>
      <c r="BE191" s="12"/>
    </row>
    <row r="192" spans="2:57" x14ac:dyDescent="0.3">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c r="AR192" s="12"/>
      <c r="AS192" s="12"/>
      <c r="AT192" s="12"/>
      <c r="AU192" s="12"/>
      <c r="AV192" s="12"/>
      <c r="AW192" s="12"/>
      <c r="AX192" s="12"/>
      <c r="AY192" s="12"/>
      <c r="AZ192" s="12"/>
      <c r="BA192" s="12"/>
      <c r="BB192" s="12"/>
      <c r="BC192" s="12"/>
      <c r="BD192" s="12"/>
      <c r="BE192" s="12"/>
    </row>
    <row r="193" spans="2:57" x14ac:dyDescent="0.3">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c r="AR193" s="12"/>
      <c r="AS193" s="12"/>
      <c r="AT193" s="12"/>
      <c r="AU193" s="12"/>
      <c r="AV193" s="12"/>
      <c r="AW193" s="12"/>
      <c r="AX193" s="12"/>
      <c r="AY193" s="12"/>
      <c r="AZ193" s="12"/>
      <c r="BA193" s="12"/>
      <c r="BB193" s="12"/>
      <c r="BC193" s="12"/>
      <c r="BD193" s="12"/>
      <c r="BE193" s="12"/>
    </row>
    <row r="194" spans="2:57" x14ac:dyDescent="0.3">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c r="AR194" s="12"/>
      <c r="AS194" s="12"/>
      <c r="AT194" s="12"/>
      <c r="AU194" s="12"/>
      <c r="AV194" s="12"/>
      <c r="AW194" s="12"/>
      <c r="AX194" s="12"/>
      <c r="AY194" s="12"/>
      <c r="AZ194" s="12"/>
      <c r="BA194" s="12"/>
      <c r="BB194" s="12"/>
      <c r="BC194" s="12"/>
      <c r="BD194" s="12"/>
      <c r="BE194" s="12"/>
    </row>
    <row r="195" spans="2:57" x14ac:dyDescent="0.3">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c r="AR195" s="12"/>
      <c r="AS195" s="12"/>
      <c r="AT195" s="12"/>
      <c r="AU195" s="12"/>
      <c r="AV195" s="12"/>
      <c r="AW195" s="12"/>
      <c r="AX195" s="12"/>
      <c r="AY195" s="12"/>
      <c r="AZ195" s="12"/>
      <c r="BA195" s="12"/>
      <c r="BB195" s="12"/>
      <c r="BC195" s="12"/>
      <c r="BD195" s="12"/>
      <c r="BE195" s="12"/>
    </row>
    <row r="196" spans="2:57" x14ac:dyDescent="0.3">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c r="AR196" s="12"/>
      <c r="AS196" s="12"/>
      <c r="AT196" s="12"/>
      <c r="AU196" s="12"/>
      <c r="AV196" s="12"/>
      <c r="AW196" s="12"/>
      <c r="AX196" s="12"/>
      <c r="AY196" s="12"/>
      <c r="AZ196" s="12"/>
      <c r="BA196" s="12"/>
      <c r="BB196" s="12"/>
      <c r="BC196" s="12"/>
      <c r="BD196" s="12"/>
      <c r="BE196" s="12"/>
    </row>
    <row r="197" spans="2:57" x14ac:dyDescent="0.3">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c r="AR197" s="12"/>
      <c r="AS197" s="12"/>
      <c r="AT197" s="12"/>
      <c r="AU197" s="12"/>
      <c r="AV197" s="12"/>
      <c r="AW197" s="12"/>
      <c r="AX197" s="12"/>
      <c r="AY197" s="12"/>
      <c r="AZ197" s="12"/>
      <c r="BA197" s="12"/>
      <c r="BB197" s="12"/>
      <c r="BC197" s="12"/>
      <c r="BD197" s="12"/>
      <c r="BE197" s="12"/>
    </row>
    <row r="198" spans="2:57" x14ac:dyDescent="0.3">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c r="AR198" s="12"/>
      <c r="AS198" s="12"/>
      <c r="AT198" s="12"/>
      <c r="AU198" s="12"/>
      <c r="AV198" s="12"/>
      <c r="AW198" s="12"/>
      <c r="AX198" s="12"/>
      <c r="AY198" s="12"/>
      <c r="AZ198" s="12"/>
      <c r="BA198" s="12"/>
      <c r="BB198" s="12"/>
      <c r="BC198" s="12"/>
      <c r="BD198" s="12"/>
      <c r="BE198" s="12"/>
    </row>
    <row r="199" spans="2:57" x14ac:dyDescent="0.3">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c r="AR199" s="12"/>
      <c r="AS199" s="12"/>
      <c r="AT199" s="12"/>
      <c r="AU199" s="12"/>
      <c r="AV199" s="12"/>
      <c r="AW199" s="12"/>
      <c r="AX199" s="12"/>
      <c r="AY199" s="12"/>
      <c r="AZ199" s="12"/>
      <c r="BA199" s="12"/>
      <c r="BB199" s="12"/>
      <c r="BC199" s="12"/>
      <c r="BD199" s="12"/>
      <c r="BE199" s="12"/>
    </row>
    <row r="200" spans="2:57" x14ac:dyDescent="0.3">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c r="AR200" s="12"/>
      <c r="AS200" s="12"/>
      <c r="AT200" s="12"/>
      <c r="AU200" s="12"/>
      <c r="AV200" s="12"/>
      <c r="AW200" s="12"/>
      <c r="AX200" s="12"/>
      <c r="AY200" s="12"/>
      <c r="AZ200" s="12"/>
      <c r="BA200" s="12"/>
      <c r="BB200" s="12"/>
      <c r="BC200" s="12"/>
      <c r="BD200" s="12"/>
      <c r="BE200" s="12"/>
    </row>
    <row r="201" spans="2:57" x14ac:dyDescent="0.3">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c r="AR201" s="12"/>
      <c r="AS201" s="12"/>
      <c r="AT201" s="12"/>
      <c r="AU201" s="12"/>
      <c r="AV201" s="12"/>
      <c r="AW201" s="12"/>
      <c r="AX201" s="12"/>
      <c r="AY201" s="12"/>
      <c r="AZ201" s="12"/>
      <c r="BA201" s="12"/>
      <c r="BB201" s="12"/>
      <c r="BC201" s="12"/>
      <c r="BD201" s="12"/>
      <c r="BE201" s="12"/>
    </row>
    <row r="202" spans="2:57" x14ac:dyDescent="0.3">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c r="AR202" s="12"/>
      <c r="AS202" s="12"/>
      <c r="AT202" s="12"/>
      <c r="AU202" s="12"/>
      <c r="AV202" s="12"/>
      <c r="AW202" s="12"/>
      <c r="AX202" s="12"/>
      <c r="AY202" s="12"/>
      <c r="AZ202" s="12"/>
      <c r="BA202" s="12"/>
      <c r="BB202" s="12"/>
      <c r="BC202" s="12"/>
      <c r="BD202" s="12"/>
      <c r="BE202" s="12"/>
    </row>
    <row r="203" spans="2:57" x14ac:dyDescent="0.3">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c r="AR203" s="12"/>
      <c r="AS203" s="12"/>
      <c r="AT203" s="12"/>
      <c r="AU203" s="12"/>
      <c r="AV203" s="12"/>
      <c r="AW203" s="12"/>
      <c r="AX203" s="12"/>
      <c r="AY203" s="12"/>
      <c r="AZ203" s="12"/>
      <c r="BA203" s="12"/>
      <c r="BB203" s="12"/>
      <c r="BC203" s="12"/>
      <c r="BD203" s="12"/>
      <c r="BE203" s="12"/>
    </row>
    <row r="204" spans="2:57" x14ac:dyDescent="0.3">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c r="AR204" s="12"/>
      <c r="AS204" s="12"/>
      <c r="AT204" s="12"/>
      <c r="AU204" s="12"/>
      <c r="AV204" s="12"/>
      <c r="AW204" s="12"/>
      <c r="AX204" s="12"/>
      <c r="AY204" s="12"/>
      <c r="AZ204" s="12"/>
      <c r="BA204" s="12"/>
      <c r="BB204" s="12"/>
      <c r="BC204" s="12"/>
      <c r="BD204" s="12"/>
      <c r="BE204" s="12"/>
    </row>
    <row r="205" spans="2:57" x14ac:dyDescent="0.3">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c r="AR205" s="12"/>
      <c r="AS205" s="12"/>
      <c r="AT205" s="12"/>
      <c r="AU205" s="12"/>
      <c r="AV205" s="12"/>
      <c r="AW205" s="12"/>
      <c r="AX205" s="12"/>
      <c r="AY205" s="12"/>
      <c r="AZ205" s="12"/>
      <c r="BA205" s="12"/>
      <c r="BB205" s="12"/>
      <c r="BC205" s="12"/>
      <c r="BD205" s="12"/>
      <c r="BE205" s="12"/>
    </row>
    <row r="206" spans="2:57" x14ac:dyDescent="0.3">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c r="AR206" s="12"/>
      <c r="AS206" s="12"/>
      <c r="AT206" s="12"/>
      <c r="AU206" s="12"/>
      <c r="AV206" s="12"/>
      <c r="AW206" s="12"/>
      <c r="AX206" s="12"/>
      <c r="AY206" s="12"/>
      <c r="AZ206" s="12"/>
      <c r="BA206" s="12"/>
      <c r="BB206" s="12"/>
      <c r="BC206" s="12"/>
      <c r="BD206" s="12"/>
      <c r="BE206" s="12"/>
    </row>
    <row r="207" spans="2:57" x14ac:dyDescent="0.3">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c r="AR207" s="12"/>
      <c r="AS207" s="12"/>
      <c r="AT207" s="12"/>
      <c r="AU207" s="12"/>
      <c r="AV207" s="12"/>
      <c r="AW207" s="12"/>
      <c r="AX207" s="12"/>
      <c r="AY207" s="12"/>
      <c r="AZ207" s="12"/>
      <c r="BA207" s="12"/>
      <c r="BB207" s="12"/>
      <c r="BC207" s="12"/>
      <c r="BD207" s="12"/>
      <c r="BE207" s="12"/>
    </row>
    <row r="208" spans="2:57" x14ac:dyDescent="0.3">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c r="AR208" s="12"/>
      <c r="AS208" s="12"/>
      <c r="AT208" s="12"/>
      <c r="AU208" s="12"/>
      <c r="AV208" s="12"/>
      <c r="AW208" s="12"/>
      <c r="AX208" s="12"/>
      <c r="AY208" s="12"/>
      <c r="AZ208" s="12"/>
      <c r="BA208" s="12"/>
      <c r="BB208" s="12"/>
      <c r="BC208" s="12"/>
      <c r="BD208" s="12"/>
      <c r="BE208" s="12"/>
    </row>
    <row r="209" spans="2:57" x14ac:dyDescent="0.3">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c r="AR209" s="12"/>
      <c r="AS209" s="12"/>
      <c r="AT209" s="12"/>
      <c r="AU209" s="12"/>
      <c r="AV209" s="12"/>
      <c r="AW209" s="12"/>
      <c r="AX209" s="12"/>
      <c r="AY209" s="12"/>
      <c r="AZ209" s="12"/>
      <c r="BA209" s="12"/>
      <c r="BB209" s="12"/>
      <c r="BC209" s="12"/>
      <c r="BD209" s="12"/>
      <c r="BE209" s="12"/>
    </row>
    <row r="210" spans="2:57" x14ac:dyDescent="0.3">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c r="AQ210" s="12"/>
      <c r="AR210" s="12"/>
      <c r="AS210" s="12"/>
      <c r="AT210" s="12"/>
      <c r="AU210" s="12"/>
      <c r="AV210" s="12"/>
      <c r="AW210" s="12"/>
      <c r="AX210" s="12"/>
      <c r="AY210" s="12"/>
      <c r="AZ210" s="12"/>
      <c r="BA210" s="12"/>
      <c r="BB210" s="12"/>
      <c r="BC210" s="12"/>
      <c r="BD210" s="12"/>
      <c r="BE210" s="12"/>
    </row>
    <row r="211" spans="2:57" x14ac:dyDescent="0.3">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c r="AN211" s="12"/>
      <c r="AO211" s="12"/>
      <c r="AP211" s="12"/>
      <c r="AQ211" s="12"/>
      <c r="AR211" s="12"/>
      <c r="AS211" s="12"/>
      <c r="AT211" s="12"/>
      <c r="AU211" s="12"/>
      <c r="AV211" s="12"/>
      <c r="AW211" s="12"/>
      <c r="AX211" s="12"/>
      <c r="AY211" s="12"/>
      <c r="AZ211" s="12"/>
      <c r="BA211" s="12"/>
      <c r="BB211" s="12"/>
      <c r="BC211" s="12"/>
      <c r="BD211" s="12"/>
      <c r="BE211" s="12"/>
    </row>
    <row r="212" spans="2:57" x14ac:dyDescent="0.3">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c r="AR212" s="12"/>
      <c r="AS212" s="12"/>
      <c r="AT212" s="12"/>
      <c r="AU212" s="12"/>
      <c r="AV212" s="12"/>
      <c r="AW212" s="12"/>
      <c r="AX212" s="12"/>
      <c r="AY212" s="12"/>
      <c r="AZ212" s="12"/>
      <c r="BA212" s="12"/>
      <c r="BB212" s="12"/>
      <c r="BC212" s="12"/>
      <c r="BD212" s="12"/>
      <c r="BE212" s="12"/>
    </row>
    <row r="213" spans="2:57" x14ac:dyDescent="0.3">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c r="AN213" s="12"/>
      <c r="AO213" s="12"/>
      <c r="AP213" s="12"/>
      <c r="AQ213" s="12"/>
      <c r="AR213" s="12"/>
      <c r="AS213" s="12"/>
      <c r="AT213" s="12"/>
      <c r="AU213" s="12"/>
      <c r="AV213" s="12"/>
      <c r="AW213" s="12"/>
      <c r="AX213" s="12"/>
      <c r="AY213" s="12"/>
      <c r="AZ213" s="12"/>
      <c r="BA213" s="12"/>
      <c r="BB213" s="12"/>
      <c r="BC213" s="12"/>
      <c r="BD213" s="12"/>
      <c r="BE213" s="12"/>
    </row>
    <row r="214" spans="2:57" x14ac:dyDescent="0.3">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12"/>
      <c r="AP214" s="12"/>
      <c r="AQ214" s="12"/>
      <c r="AR214" s="12"/>
      <c r="AS214" s="12"/>
      <c r="AT214" s="12"/>
      <c r="AU214" s="12"/>
      <c r="AV214" s="12"/>
      <c r="AW214" s="12"/>
      <c r="AX214" s="12"/>
      <c r="AY214" s="12"/>
      <c r="AZ214" s="12"/>
      <c r="BA214" s="12"/>
      <c r="BB214" s="12"/>
      <c r="BC214" s="12"/>
      <c r="BD214" s="12"/>
      <c r="BE214" s="12"/>
    </row>
    <row r="215" spans="2:57" x14ac:dyDescent="0.3">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c r="AR215" s="12"/>
      <c r="AS215" s="12"/>
      <c r="AT215" s="12"/>
      <c r="AU215" s="12"/>
      <c r="AV215" s="12"/>
      <c r="AW215" s="12"/>
      <c r="AX215" s="12"/>
      <c r="AY215" s="12"/>
      <c r="AZ215" s="12"/>
      <c r="BA215" s="12"/>
      <c r="BB215" s="12"/>
      <c r="BC215" s="12"/>
      <c r="BD215" s="12"/>
      <c r="BE215" s="12"/>
    </row>
    <row r="216" spans="2:57" x14ac:dyDescent="0.3">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12"/>
      <c r="AP216" s="12"/>
      <c r="AQ216" s="12"/>
      <c r="AR216" s="12"/>
      <c r="AS216" s="12"/>
      <c r="AT216" s="12"/>
      <c r="AU216" s="12"/>
      <c r="AV216" s="12"/>
      <c r="AW216" s="12"/>
      <c r="AX216" s="12"/>
      <c r="AY216" s="12"/>
      <c r="AZ216" s="12"/>
      <c r="BA216" s="12"/>
      <c r="BB216" s="12"/>
      <c r="BC216" s="12"/>
      <c r="BD216" s="12"/>
      <c r="BE216" s="12"/>
    </row>
    <row r="217" spans="2:57" x14ac:dyDescent="0.3">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c r="AR217" s="12"/>
      <c r="AS217" s="12"/>
      <c r="AT217" s="12"/>
      <c r="AU217" s="12"/>
      <c r="AV217" s="12"/>
      <c r="AW217" s="12"/>
      <c r="AX217" s="12"/>
      <c r="AY217" s="12"/>
      <c r="AZ217" s="12"/>
      <c r="BA217" s="12"/>
      <c r="BB217" s="12"/>
      <c r="BC217" s="12"/>
      <c r="BD217" s="12"/>
      <c r="BE217" s="12"/>
    </row>
    <row r="218" spans="2:57" x14ac:dyDescent="0.3">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12"/>
      <c r="AP218" s="12"/>
      <c r="AQ218" s="12"/>
      <c r="AR218" s="12"/>
      <c r="AS218" s="12"/>
      <c r="AT218" s="12"/>
      <c r="AU218" s="12"/>
      <c r="AV218" s="12"/>
      <c r="AW218" s="12"/>
      <c r="AX218" s="12"/>
      <c r="AY218" s="12"/>
      <c r="AZ218" s="12"/>
      <c r="BA218" s="12"/>
      <c r="BB218" s="12"/>
      <c r="BC218" s="12"/>
      <c r="BD218" s="12"/>
      <c r="BE218" s="12"/>
    </row>
    <row r="219" spans="2:57" x14ac:dyDescent="0.3">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c r="AR219" s="12"/>
      <c r="AS219" s="12"/>
      <c r="AT219" s="12"/>
      <c r="AU219" s="12"/>
      <c r="AV219" s="12"/>
      <c r="AW219" s="12"/>
      <c r="AX219" s="12"/>
      <c r="AY219" s="12"/>
      <c r="AZ219" s="12"/>
      <c r="BA219" s="12"/>
      <c r="BB219" s="12"/>
      <c r="BC219" s="12"/>
      <c r="BD219" s="12"/>
      <c r="BE219" s="12"/>
    </row>
    <row r="220" spans="2:57" x14ac:dyDescent="0.3">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c r="AR220" s="12"/>
      <c r="AS220" s="12"/>
      <c r="AT220" s="12"/>
      <c r="AU220" s="12"/>
      <c r="AV220" s="12"/>
      <c r="AW220" s="12"/>
      <c r="AX220" s="12"/>
      <c r="AY220" s="12"/>
      <c r="AZ220" s="12"/>
      <c r="BA220" s="12"/>
      <c r="BB220" s="12"/>
      <c r="BC220" s="12"/>
      <c r="BD220" s="12"/>
      <c r="BE220" s="12"/>
    </row>
    <row r="221" spans="2:57" x14ac:dyDescent="0.3">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c r="AR221" s="12"/>
      <c r="AS221" s="12"/>
      <c r="AT221" s="12"/>
      <c r="AU221" s="12"/>
      <c r="AV221" s="12"/>
      <c r="AW221" s="12"/>
      <c r="AX221" s="12"/>
      <c r="AY221" s="12"/>
      <c r="AZ221" s="12"/>
      <c r="BA221" s="12"/>
      <c r="BB221" s="12"/>
      <c r="BC221" s="12"/>
      <c r="BD221" s="12"/>
      <c r="BE221" s="12"/>
    </row>
    <row r="222" spans="2:57" x14ac:dyDescent="0.3">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c r="AR222" s="12"/>
      <c r="AS222" s="12"/>
      <c r="AT222" s="12"/>
      <c r="AU222" s="12"/>
      <c r="AV222" s="12"/>
      <c r="AW222" s="12"/>
      <c r="AX222" s="12"/>
      <c r="AY222" s="12"/>
      <c r="AZ222" s="12"/>
      <c r="BA222" s="12"/>
      <c r="BB222" s="12"/>
      <c r="BC222" s="12"/>
      <c r="BD222" s="12"/>
      <c r="BE222" s="12"/>
    </row>
    <row r="223" spans="2:57" x14ac:dyDescent="0.3">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2"/>
      <c r="AP223" s="12"/>
      <c r="AQ223" s="12"/>
      <c r="AR223" s="12"/>
      <c r="AS223" s="12"/>
      <c r="AT223" s="12"/>
      <c r="AU223" s="12"/>
      <c r="AV223" s="12"/>
      <c r="AW223" s="12"/>
      <c r="AX223" s="12"/>
      <c r="AY223" s="12"/>
      <c r="AZ223" s="12"/>
      <c r="BA223" s="12"/>
      <c r="BB223" s="12"/>
      <c r="BC223" s="12"/>
      <c r="BD223" s="12"/>
      <c r="BE223" s="12"/>
    </row>
    <row r="224" spans="2:57" x14ac:dyDescent="0.3">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c r="AR224" s="12"/>
      <c r="AS224" s="12"/>
      <c r="AT224" s="12"/>
      <c r="AU224" s="12"/>
      <c r="AV224" s="12"/>
      <c r="AW224" s="12"/>
      <c r="AX224" s="12"/>
      <c r="AY224" s="12"/>
      <c r="AZ224" s="12"/>
      <c r="BA224" s="12"/>
      <c r="BB224" s="12"/>
      <c r="BC224" s="12"/>
      <c r="BD224" s="12"/>
      <c r="BE224" s="12"/>
    </row>
    <row r="225" spans="2:57" x14ac:dyDescent="0.3">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c r="AQ225" s="12"/>
      <c r="AR225" s="12"/>
      <c r="AS225" s="12"/>
      <c r="AT225" s="12"/>
      <c r="AU225" s="12"/>
      <c r="AV225" s="12"/>
      <c r="AW225" s="12"/>
      <c r="AX225" s="12"/>
      <c r="AY225" s="12"/>
      <c r="AZ225" s="12"/>
      <c r="BA225" s="12"/>
      <c r="BB225" s="12"/>
      <c r="BC225" s="12"/>
      <c r="BD225" s="12"/>
      <c r="BE225" s="12"/>
    </row>
    <row r="226" spans="2:57" x14ac:dyDescent="0.3">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12"/>
      <c r="AP226" s="12"/>
      <c r="AQ226" s="12"/>
      <c r="AR226" s="12"/>
      <c r="AS226" s="12"/>
      <c r="AT226" s="12"/>
      <c r="AU226" s="12"/>
      <c r="AV226" s="12"/>
      <c r="AW226" s="12"/>
      <c r="AX226" s="12"/>
      <c r="AY226" s="12"/>
      <c r="AZ226" s="12"/>
      <c r="BA226" s="12"/>
      <c r="BB226" s="12"/>
      <c r="BC226" s="12"/>
      <c r="BD226" s="12"/>
      <c r="BE226" s="12"/>
    </row>
    <row r="227" spans="2:57" x14ac:dyDescent="0.3">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12"/>
      <c r="AP227" s="12"/>
      <c r="AQ227" s="12"/>
      <c r="AR227" s="12"/>
      <c r="AS227" s="12"/>
      <c r="AT227" s="12"/>
      <c r="AU227" s="12"/>
      <c r="AV227" s="12"/>
      <c r="AW227" s="12"/>
      <c r="AX227" s="12"/>
      <c r="AY227" s="12"/>
      <c r="AZ227" s="12"/>
      <c r="BA227" s="12"/>
      <c r="BB227" s="12"/>
      <c r="BC227" s="12"/>
      <c r="BD227" s="12"/>
      <c r="BE227" s="12"/>
    </row>
    <row r="228" spans="2:57" x14ac:dyDescent="0.3">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12"/>
      <c r="AP228" s="12"/>
      <c r="AQ228" s="12"/>
      <c r="AR228" s="12"/>
      <c r="AS228" s="12"/>
      <c r="AT228" s="12"/>
      <c r="AU228" s="12"/>
      <c r="AV228" s="12"/>
      <c r="AW228" s="12"/>
      <c r="AX228" s="12"/>
      <c r="AY228" s="12"/>
      <c r="AZ228" s="12"/>
      <c r="BA228" s="12"/>
      <c r="BB228" s="12"/>
      <c r="BC228" s="12"/>
      <c r="BD228" s="12"/>
      <c r="BE228" s="12"/>
    </row>
    <row r="229" spans="2:57" x14ac:dyDescent="0.3">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12"/>
      <c r="AN229" s="12"/>
      <c r="AO229" s="12"/>
      <c r="AP229" s="12"/>
      <c r="AQ229" s="12"/>
      <c r="AR229" s="12"/>
      <c r="AS229" s="12"/>
      <c r="AT229" s="12"/>
      <c r="AU229" s="12"/>
      <c r="AV229" s="12"/>
      <c r="AW229" s="12"/>
      <c r="AX229" s="12"/>
      <c r="AY229" s="12"/>
      <c r="AZ229" s="12"/>
      <c r="BA229" s="12"/>
      <c r="BB229" s="12"/>
      <c r="BC229" s="12"/>
      <c r="BD229" s="12"/>
      <c r="BE229" s="12"/>
    </row>
    <row r="230" spans="2:57" x14ac:dyDescent="0.3">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c r="AQ230" s="12"/>
      <c r="AR230" s="12"/>
      <c r="AS230" s="12"/>
      <c r="AT230" s="12"/>
      <c r="AU230" s="12"/>
      <c r="AV230" s="12"/>
      <c r="AW230" s="12"/>
      <c r="AX230" s="12"/>
      <c r="AY230" s="12"/>
      <c r="AZ230" s="12"/>
      <c r="BA230" s="12"/>
      <c r="BB230" s="12"/>
      <c r="BC230" s="12"/>
      <c r="BD230" s="12"/>
      <c r="BE230" s="12"/>
    </row>
    <row r="231" spans="2:57" x14ac:dyDescent="0.3">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c r="AN231" s="12"/>
      <c r="AO231" s="12"/>
      <c r="AP231" s="12"/>
      <c r="AQ231" s="12"/>
      <c r="AR231" s="12"/>
      <c r="AS231" s="12"/>
      <c r="AT231" s="12"/>
      <c r="AU231" s="12"/>
      <c r="AV231" s="12"/>
      <c r="AW231" s="12"/>
      <c r="AX231" s="12"/>
      <c r="AY231" s="12"/>
      <c r="AZ231" s="12"/>
      <c r="BA231" s="12"/>
      <c r="BB231" s="12"/>
      <c r="BC231" s="12"/>
      <c r="BD231" s="12"/>
      <c r="BE231" s="12"/>
    </row>
    <row r="232" spans="2:57" x14ac:dyDescent="0.3">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c r="AR232" s="12"/>
      <c r="AS232" s="12"/>
      <c r="AT232" s="12"/>
      <c r="AU232" s="12"/>
      <c r="AV232" s="12"/>
      <c r="AW232" s="12"/>
      <c r="AX232" s="12"/>
      <c r="AY232" s="12"/>
      <c r="AZ232" s="12"/>
      <c r="BA232" s="12"/>
      <c r="BB232" s="12"/>
      <c r="BC232" s="12"/>
      <c r="BD232" s="12"/>
      <c r="BE232" s="12"/>
    </row>
    <row r="233" spans="2:57" x14ac:dyDescent="0.3">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c r="AR233" s="12"/>
      <c r="AS233" s="12"/>
      <c r="AT233" s="12"/>
      <c r="AU233" s="12"/>
      <c r="AV233" s="12"/>
      <c r="AW233" s="12"/>
      <c r="AX233" s="12"/>
      <c r="AY233" s="12"/>
      <c r="AZ233" s="12"/>
      <c r="BA233" s="12"/>
      <c r="BB233" s="12"/>
      <c r="BC233" s="12"/>
      <c r="BD233" s="12"/>
      <c r="BE233" s="12"/>
    </row>
    <row r="234" spans="2:57" x14ac:dyDescent="0.3">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J234" s="12"/>
      <c r="AK234" s="12"/>
      <c r="AL234" s="12"/>
      <c r="AM234" s="12"/>
      <c r="AN234" s="12"/>
      <c r="AO234" s="12"/>
      <c r="AP234" s="12"/>
      <c r="AQ234" s="12"/>
      <c r="AR234" s="12"/>
      <c r="AS234" s="12"/>
      <c r="AT234" s="12"/>
      <c r="AU234" s="12"/>
      <c r="AV234" s="12"/>
      <c r="AW234" s="12"/>
      <c r="AX234" s="12"/>
      <c r="AY234" s="12"/>
      <c r="AZ234" s="12"/>
      <c r="BA234" s="12"/>
      <c r="BB234" s="12"/>
      <c r="BC234" s="12"/>
      <c r="BD234" s="12"/>
      <c r="BE234" s="12"/>
    </row>
    <row r="235" spans="2:57" x14ac:dyDescent="0.3">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J235" s="12"/>
      <c r="AK235" s="12"/>
      <c r="AL235" s="12"/>
      <c r="AM235" s="12"/>
      <c r="AN235" s="12"/>
      <c r="AO235" s="12"/>
      <c r="AP235" s="12"/>
      <c r="AQ235" s="12"/>
      <c r="AR235" s="12"/>
      <c r="AS235" s="12"/>
      <c r="AT235" s="12"/>
      <c r="AU235" s="12"/>
      <c r="AV235" s="12"/>
      <c r="AW235" s="12"/>
      <c r="AX235" s="12"/>
      <c r="AY235" s="12"/>
      <c r="AZ235" s="12"/>
      <c r="BA235" s="12"/>
      <c r="BB235" s="12"/>
      <c r="BC235" s="12"/>
      <c r="BD235" s="12"/>
      <c r="BE235" s="12"/>
    </row>
    <row r="236" spans="2:57" x14ac:dyDescent="0.3">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c r="AH236" s="12"/>
      <c r="AI236" s="12"/>
      <c r="AJ236" s="12"/>
      <c r="AK236" s="12"/>
      <c r="AL236" s="12"/>
      <c r="AM236" s="12"/>
      <c r="AN236" s="12"/>
      <c r="AO236" s="12"/>
      <c r="AP236" s="12"/>
      <c r="AQ236" s="12"/>
      <c r="AR236" s="12"/>
      <c r="AS236" s="12"/>
      <c r="AT236" s="12"/>
      <c r="AU236" s="12"/>
      <c r="AV236" s="12"/>
      <c r="AW236" s="12"/>
      <c r="AX236" s="12"/>
      <c r="AY236" s="12"/>
      <c r="AZ236" s="12"/>
      <c r="BA236" s="12"/>
      <c r="BB236" s="12"/>
      <c r="BC236" s="12"/>
      <c r="BD236" s="12"/>
      <c r="BE236" s="12"/>
    </row>
    <row r="237" spans="2:57" x14ac:dyDescent="0.3">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c r="AH237" s="12"/>
      <c r="AI237" s="12"/>
      <c r="AJ237" s="12"/>
      <c r="AK237" s="12"/>
      <c r="AL237" s="12"/>
      <c r="AM237" s="12"/>
      <c r="AN237" s="12"/>
      <c r="AO237" s="12"/>
      <c r="AP237" s="12"/>
      <c r="AQ237" s="12"/>
      <c r="AR237" s="12"/>
      <c r="AS237" s="12"/>
      <c r="AT237" s="12"/>
      <c r="AU237" s="12"/>
      <c r="AV237" s="12"/>
      <c r="AW237" s="12"/>
      <c r="AX237" s="12"/>
      <c r="AY237" s="12"/>
      <c r="AZ237" s="12"/>
      <c r="BA237" s="12"/>
      <c r="BB237" s="12"/>
      <c r="BC237" s="12"/>
      <c r="BD237" s="12"/>
      <c r="BE237" s="12"/>
    </row>
    <row r="238" spans="2:57" x14ac:dyDescent="0.3">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c r="AH238" s="12"/>
      <c r="AI238" s="12"/>
      <c r="AJ238" s="12"/>
      <c r="AK238" s="12"/>
      <c r="AL238" s="12"/>
      <c r="AM238" s="12"/>
      <c r="AN238" s="12"/>
      <c r="AO238" s="12"/>
      <c r="AP238" s="12"/>
      <c r="AQ238" s="12"/>
      <c r="AR238" s="12"/>
      <c r="AS238" s="12"/>
      <c r="AT238" s="12"/>
      <c r="AU238" s="12"/>
      <c r="AV238" s="12"/>
      <c r="AW238" s="12"/>
      <c r="AX238" s="12"/>
      <c r="AY238" s="12"/>
      <c r="AZ238" s="12"/>
      <c r="BA238" s="12"/>
      <c r="BB238" s="12"/>
      <c r="BC238" s="12"/>
      <c r="BD238" s="12"/>
      <c r="BE238" s="12"/>
    </row>
    <row r="239" spans="2:57" x14ac:dyDescent="0.3">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c r="AH239" s="12"/>
      <c r="AI239" s="12"/>
      <c r="AJ239" s="12"/>
      <c r="AK239" s="12"/>
      <c r="AL239" s="12"/>
      <c r="AM239" s="12"/>
      <c r="AN239" s="12"/>
      <c r="AO239" s="12"/>
      <c r="AP239" s="12"/>
      <c r="AQ239" s="12"/>
      <c r="AR239" s="12"/>
      <c r="AS239" s="12"/>
      <c r="AT239" s="12"/>
      <c r="AU239" s="12"/>
      <c r="AV239" s="12"/>
      <c r="AW239" s="12"/>
      <c r="AX239" s="12"/>
      <c r="AY239" s="12"/>
      <c r="AZ239" s="12"/>
      <c r="BA239" s="12"/>
      <c r="BB239" s="12"/>
      <c r="BC239" s="12"/>
      <c r="BD239" s="12"/>
      <c r="BE239" s="12"/>
    </row>
  </sheetData>
  <sheetProtection algorithmName="SHA-512" hashValue="LkkMRZpDoEjD3TsLD/uiYq7JFA6tgghkxuyhtus/oV1u7D8Nz7HlHurK+QVLE5lK3nBkPhBvUSxJo1LXlx+ugg==" saltValue="vOcVt1fTBKDbfv2YIaKRag==" spinCount="100000" sheet="1" objects="1" scenarios="1" selectLockedCells="1"/>
  <mergeCells count="250">
    <mergeCell ref="AO113:BI114"/>
    <mergeCell ref="BP68:BV69"/>
    <mergeCell ref="BP73:BV75"/>
    <mergeCell ref="BL63:BV65"/>
    <mergeCell ref="BQ16:BV19"/>
    <mergeCell ref="B19:G19"/>
    <mergeCell ref="H19:J19"/>
    <mergeCell ref="K19:Q19"/>
    <mergeCell ref="R19:X19"/>
    <mergeCell ref="Y19:AE19"/>
    <mergeCell ref="AF19:AL19"/>
    <mergeCell ref="B22:G22"/>
    <mergeCell ref="H22:J22"/>
    <mergeCell ref="K22:Q22"/>
    <mergeCell ref="R22:X22"/>
    <mergeCell ref="Y22:AE22"/>
    <mergeCell ref="AF22:AL22"/>
    <mergeCell ref="B32:U32"/>
    <mergeCell ref="B21:G21"/>
    <mergeCell ref="H21:J21"/>
    <mergeCell ref="K21:Q21"/>
    <mergeCell ref="R21:X21"/>
    <mergeCell ref="Y21:AE21"/>
    <mergeCell ref="AF21:AL21"/>
    <mergeCell ref="BQ8:BU9"/>
    <mergeCell ref="BQ10:BV11"/>
    <mergeCell ref="BQ12:BV13"/>
    <mergeCell ref="B15:G15"/>
    <mergeCell ref="H15:J15"/>
    <mergeCell ref="K15:Q15"/>
    <mergeCell ref="R15:X15"/>
    <mergeCell ref="AF17:AL17"/>
    <mergeCell ref="B16:G16"/>
    <mergeCell ref="H16:J16"/>
    <mergeCell ref="K16:Q16"/>
    <mergeCell ref="R16:X16"/>
    <mergeCell ref="Y16:AE16"/>
    <mergeCell ref="AF16:AL16"/>
    <mergeCell ref="B17:G17"/>
    <mergeCell ref="H17:J17"/>
    <mergeCell ref="K17:Q17"/>
    <mergeCell ref="R17:X17"/>
    <mergeCell ref="Y17:AE17"/>
    <mergeCell ref="K14:Q14"/>
    <mergeCell ref="R14:X14"/>
    <mergeCell ref="Y14:AE14"/>
    <mergeCell ref="AF14:AL14"/>
    <mergeCell ref="B13:G13"/>
    <mergeCell ref="BQ2:BU3"/>
    <mergeCell ref="B3:BJ3"/>
    <mergeCell ref="BQ4:BU5"/>
    <mergeCell ref="B5:J5"/>
    <mergeCell ref="L5:AE5"/>
    <mergeCell ref="AG5:AL5"/>
    <mergeCell ref="AN5:BE5"/>
    <mergeCell ref="B7:J7"/>
    <mergeCell ref="L7:AE7"/>
    <mergeCell ref="BR6:BU7"/>
    <mergeCell ref="B1:BJ1"/>
    <mergeCell ref="B2:BJ2"/>
    <mergeCell ref="H13:J13"/>
    <mergeCell ref="K13:Q13"/>
    <mergeCell ref="R13:X13"/>
    <mergeCell ref="Y13:AE13"/>
    <mergeCell ref="AF13:AL13"/>
    <mergeCell ref="B11:J11"/>
    <mergeCell ref="K11:Q11"/>
    <mergeCell ref="R11:X11"/>
    <mergeCell ref="Y11:AE11"/>
    <mergeCell ref="AF11:AL11"/>
    <mergeCell ref="BR14:BV14"/>
    <mergeCell ref="B12:G12"/>
    <mergeCell ref="H12:J12"/>
    <mergeCell ref="K12:Q12"/>
    <mergeCell ref="R12:X12"/>
    <mergeCell ref="Y12:AE12"/>
    <mergeCell ref="AF12:AL12"/>
    <mergeCell ref="B9:U9"/>
    <mergeCell ref="K20:Q20"/>
    <mergeCell ref="B18:G18"/>
    <mergeCell ref="H18:J18"/>
    <mergeCell ref="K18:Q18"/>
    <mergeCell ref="R18:X18"/>
    <mergeCell ref="Y18:AE18"/>
    <mergeCell ref="AF18:AL18"/>
    <mergeCell ref="R20:X20"/>
    <mergeCell ref="Y20:AE20"/>
    <mergeCell ref="AF20:AL20"/>
    <mergeCell ref="B20:G20"/>
    <mergeCell ref="H20:J20"/>
    <mergeCell ref="Y15:AE15"/>
    <mergeCell ref="AF15:AL15"/>
    <mergeCell ref="B14:G14"/>
    <mergeCell ref="H14:J14"/>
    <mergeCell ref="H23:J23"/>
    <mergeCell ref="K23:Q23"/>
    <mergeCell ref="R23:X23"/>
    <mergeCell ref="Y23:AE23"/>
    <mergeCell ref="AF23:AL23"/>
    <mergeCell ref="AF26:AG26"/>
    <mergeCell ref="AH26:AY26"/>
    <mergeCell ref="C30:T30"/>
    <mergeCell ref="V30:AE30"/>
    <mergeCell ref="B23:G23"/>
    <mergeCell ref="BA26:BJ26"/>
    <mergeCell ref="C28:T28"/>
    <mergeCell ref="B24:J24"/>
    <mergeCell ref="K24:Q24"/>
    <mergeCell ref="R24:X24"/>
    <mergeCell ref="Y24:AE24"/>
    <mergeCell ref="AF24:AL24"/>
    <mergeCell ref="C34:L34"/>
    <mergeCell ref="N34:U34"/>
    <mergeCell ref="W34:AF34"/>
    <mergeCell ref="AH34:AO34"/>
    <mergeCell ref="AQ34:BA34"/>
    <mergeCell ref="BC34:BJ34"/>
    <mergeCell ref="C26:T26"/>
    <mergeCell ref="V26:AE26"/>
    <mergeCell ref="V28:AE28"/>
    <mergeCell ref="AF28:AG28"/>
    <mergeCell ref="AH28:AY28"/>
    <mergeCell ref="BA28:BJ28"/>
    <mergeCell ref="AH30:AY30"/>
    <mergeCell ref="BA30:BJ30"/>
    <mergeCell ref="B36:AT36"/>
    <mergeCell ref="AV36:BJ36"/>
    <mergeCell ref="B38:BJ38"/>
    <mergeCell ref="C40:AJ40"/>
    <mergeCell ref="AK40:AT40"/>
    <mergeCell ref="AV40:BJ40"/>
    <mergeCell ref="C66:AH66"/>
    <mergeCell ref="AJ66:AS66"/>
    <mergeCell ref="AT66:AU66"/>
    <mergeCell ref="AV66:BJ66"/>
    <mergeCell ref="B60:AT60"/>
    <mergeCell ref="AV60:BJ60"/>
    <mergeCell ref="B48:AT48"/>
    <mergeCell ref="AV48:BJ48"/>
    <mergeCell ref="B50:AT50"/>
    <mergeCell ref="C52:AT52"/>
    <mergeCell ref="AV52:BJ52"/>
    <mergeCell ref="C54:AT54"/>
    <mergeCell ref="AV54:BJ54"/>
    <mergeCell ref="C58:AT58"/>
    <mergeCell ref="AV58:BJ58"/>
    <mergeCell ref="C56:AT56"/>
    <mergeCell ref="AV56:BJ56"/>
    <mergeCell ref="B42:AT42"/>
    <mergeCell ref="B68:AT68"/>
    <mergeCell ref="AV68:BJ68"/>
    <mergeCell ref="B62:AI62"/>
    <mergeCell ref="AJ62:AS62"/>
    <mergeCell ref="AT62:AU62"/>
    <mergeCell ref="AV62:BJ62"/>
    <mergeCell ref="C64:AH64"/>
    <mergeCell ref="AJ64:AS64"/>
    <mergeCell ref="AT64:AU64"/>
    <mergeCell ref="AV64:BJ64"/>
    <mergeCell ref="AQ90:AX90"/>
    <mergeCell ref="C89:J89"/>
    <mergeCell ref="C78:AT78"/>
    <mergeCell ref="AV78:BJ78"/>
    <mergeCell ref="C80:AT80"/>
    <mergeCell ref="AV80:BJ80"/>
    <mergeCell ref="C82:AT82"/>
    <mergeCell ref="AV82:BJ82"/>
    <mergeCell ref="B70:BJ70"/>
    <mergeCell ref="C72:AT72"/>
    <mergeCell ref="AV72:BJ72"/>
    <mergeCell ref="C74:AT74"/>
    <mergeCell ref="AV74:BJ74"/>
    <mergeCell ref="C76:AT76"/>
    <mergeCell ref="AV76:BJ76"/>
    <mergeCell ref="B84:AT84"/>
    <mergeCell ref="AV84:BJ84"/>
    <mergeCell ref="B86:BJ86"/>
    <mergeCell ref="C88:N88"/>
    <mergeCell ref="O88:V88"/>
    <mergeCell ref="W88:AH88"/>
    <mergeCell ref="AI88:AP88"/>
    <mergeCell ref="AQ88:BB88"/>
    <mergeCell ref="BC88:BJ88"/>
    <mergeCell ref="K89:N89"/>
    <mergeCell ref="O89:V89"/>
    <mergeCell ref="W89:AD89"/>
    <mergeCell ref="AE89:AH89"/>
    <mergeCell ref="AI89:AP89"/>
    <mergeCell ref="AY90:BB90"/>
    <mergeCell ref="BC90:BJ90"/>
    <mergeCell ref="B95:AT95"/>
    <mergeCell ref="AV95:BJ95"/>
    <mergeCell ref="C93:J93"/>
    <mergeCell ref="K93:N93"/>
    <mergeCell ref="AE91:AH91"/>
    <mergeCell ref="AI91:AP91"/>
    <mergeCell ref="AQ91:BB91"/>
    <mergeCell ref="BC91:BJ91"/>
    <mergeCell ref="AQ89:AX89"/>
    <mergeCell ref="AY89:BB89"/>
    <mergeCell ref="BC89:BJ89"/>
    <mergeCell ref="C90:J90"/>
    <mergeCell ref="K90:N90"/>
    <mergeCell ref="O90:V90"/>
    <mergeCell ref="W90:AD90"/>
    <mergeCell ref="AE90:AH90"/>
    <mergeCell ref="AI90:AP90"/>
    <mergeCell ref="AZ99:BJ99"/>
    <mergeCell ref="AQ92:BB92"/>
    <mergeCell ref="BC92:BJ92"/>
    <mergeCell ref="B97:BJ97"/>
    <mergeCell ref="C99:D99"/>
    <mergeCell ref="E99:Y99"/>
    <mergeCell ref="Z99:AH99"/>
    <mergeCell ref="O93:V93"/>
    <mergeCell ref="W93:AD93"/>
    <mergeCell ref="AE93:AH93"/>
    <mergeCell ref="AI93:AP93"/>
    <mergeCell ref="AQ93:BB93"/>
    <mergeCell ref="BC93:BJ93"/>
    <mergeCell ref="C92:J92"/>
    <mergeCell ref="K92:N92"/>
    <mergeCell ref="O92:V92"/>
    <mergeCell ref="W92:AD92"/>
    <mergeCell ref="AE92:AH92"/>
    <mergeCell ref="AI92:AP92"/>
    <mergeCell ref="AV42:BJ42"/>
    <mergeCell ref="B44:AT44"/>
    <mergeCell ref="C46:AT46"/>
    <mergeCell ref="AV46:BJ46"/>
    <mergeCell ref="AO115:BI116"/>
    <mergeCell ref="B109:F109"/>
    <mergeCell ref="H109:S109"/>
    <mergeCell ref="AF109:AM109"/>
    <mergeCell ref="AO109:BI109"/>
    <mergeCell ref="X111:AJ111"/>
    <mergeCell ref="C100:BI100"/>
    <mergeCell ref="C101:BI101"/>
    <mergeCell ref="C102:X102"/>
    <mergeCell ref="Y102:AG102"/>
    <mergeCell ref="AF105:AM105"/>
    <mergeCell ref="B107:F107"/>
    <mergeCell ref="AF107:AM107"/>
    <mergeCell ref="AO107:BI107"/>
    <mergeCell ref="H107:Y107"/>
    <mergeCell ref="C91:J91"/>
    <mergeCell ref="K91:N91"/>
    <mergeCell ref="O91:V91"/>
    <mergeCell ref="W91:AD91"/>
    <mergeCell ref="AI99:AY99"/>
  </mergeCells>
  <dataValidations count="1">
    <dataValidation type="whole" operator="greaterThan" allowBlank="1" showInputMessage="1" showErrorMessage="1" errorTitle="Earned Leave Surrender" error="Please enter a valid amount." promptTitle="Earned Leave Surrender" prompt="Please enter the Earned Leave Surrender amount." sqref="N26:T26" xr:uid="{32D4C389-8E9D-450F-8327-B8AB748F0544}">
      <formula1>1</formula1>
    </dataValidation>
  </dataValidations>
  <pageMargins left="0.39370078740157483" right="0" top="0.31496062992125984" bottom="0.31496062992125984" header="0" footer="0"/>
  <pageSetup paperSize="9" orientation="portrait" blackAndWhite="1" errors="blank" r:id="rId1"/>
  <headerFooter>
    <oddFooter>&amp;CPage &amp;P of &amp;N</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40278-62FB-4B50-AA2E-DD9B6CBAD701}">
  <dimension ref="B2:BA104"/>
  <sheetViews>
    <sheetView showGridLines="0" showRowColHeaders="0" zoomScaleNormal="100" workbookViewId="0">
      <selection activeCell="AO1" sqref="AO1"/>
    </sheetView>
  </sheetViews>
  <sheetFormatPr defaultRowHeight="14.4" x14ac:dyDescent="0.3"/>
  <cols>
    <col min="1" max="1" width="5" customWidth="1"/>
    <col min="2" max="42" width="2.109375" customWidth="1"/>
  </cols>
  <sheetData>
    <row r="2" spans="2:50" ht="18" customHeight="1" x14ac:dyDescent="0.3">
      <c r="B2" s="479" t="s">
        <v>77</v>
      </c>
      <c r="C2" s="479"/>
      <c r="D2" s="479"/>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c r="AL2" s="479"/>
      <c r="AM2" s="479"/>
      <c r="AN2" s="479"/>
      <c r="AO2" s="60"/>
      <c r="AP2" s="60"/>
      <c r="AR2" s="215" t="s">
        <v>205</v>
      </c>
      <c r="AS2" s="215"/>
      <c r="AT2" s="215"/>
      <c r="AU2" s="215"/>
      <c r="AV2" s="215"/>
      <c r="AW2" s="215"/>
    </row>
    <row r="3" spans="2:50" ht="15" customHeight="1" x14ac:dyDescent="0.3">
      <c r="B3" s="480" t="s">
        <v>39</v>
      </c>
      <c r="C3" s="374"/>
      <c r="D3" s="374"/>
      <c r="E3" s="374"/>
      <c r="F3" s="374"/>
      <c r="G3" s="374"/>
      <c r="H3" s="374"/>
      <c r="I3" s="374"/>
      <c r="J3" s="374"/>
      <c r="K3" s="374"/>
      <c r="L3" s="374"/>
      <c r="M3" s="374"/>
      <c r="N3" s="374"/>
      <c r="O3" s="374"/>
      <c r="P3" s="374"/>
      <c r="Q3" s="374"/>
      <c r="R3" s="374"/>
      <c r="S3" s="374"/>
      <c r="T3" s="374"/>
      <c r="U3" s="374"/>
      <c r="V3" s="374"/>
      <c r="W3" s="374"/>
      <c r="X3" s="374"/>
      <c r="Y3" s="374"/>
      <c r="Z3" s="374"/>
      <c r="AA3" s="374"/>
      <c r="AB3" s="374"/>
      <c r="AC3" s="374"/>
      <c r="AD3" s="374"/>
      <c r="AE3" s="374"/>
      <c r="AF3" s="374"/>
      <c r="AG3" s="374"/>
      <c r="AH3" s="374"/>
      <c r="AI3" s="374"/>
      <c r="AJ3" s="374"/>
      <c r="AK3" s="374"/>
      <c r="AL3" s="374"/>
      <c r="AM3" s="374"/>
      <c r="AN3" s="374"/>
      <c r="AO3" s="62"/>
      <c r="AP3" s="62"/>
      <c r="AR3" s="215"/>
      <c r="AS3" s="215"/>
      <c r="AT3" s="215"/>
      <c r="AU3" s="215"/>
      <c r="AV3" s="215"/>
      <c r="AW3" s="215"/>
    </row>
    <row r="4" spans="2:50" ht="15" x14ac:dyDescent="0.3">
      <c r="B4" s="61"/>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R4" s="116"/>
      <c r="AS4" s="116"/>
      <c r="AT4" s="116"/>
      <c r="AU4" s="116"/>
      <c r="AV4" s="116"/>
      <c r="AW4" s="116"/>
    </row>
    <row r="5" spans="2:50" ht="15" customHeight="1" x14ac:dyDescent="0.3">
      <c r="B5" s="480" t="s">
        <v>40</v>
      </c>
      <c r="C5" s="480"/>
      <c r="D5" s="480"/>
      <c r="E5" s="480"/>
      <c r="F5" s="480"/>
      <c r="G5" s="480"/>
      <c r="H5" s="480"/>
      <c r="I5" s="480"/>
      <c r="J5" s="480"/>
      <c r="K5" s="480"/>
      <c r="L5" s="480"/>
      <c r="M5" s="480"/>
      <c r="N5" s="480"/>
      <c r="O5" s="480"/>
      <c r="P5" s="480"/>
      <c r="Q5" s="480"/>
      <c r="R5" s="480"/>
      <c r="S5" s="480"/>
      <c r="T5" s="480"/>
      <c r="U5" s="480"/>
      <c r="V5" s="480"/>
      <c r="W5" s="480"/>
      <c r="X5" s="480"/>
      <c r="Y5" s="480"/>
      <c r="Z5" s="480"/>
      <c r="AA5" s="480"/>
      <c r="AB5" s="480"/>
      <c r="AC5" s="480"/>
      <c r="AD5" s="480"/>
      <c r="AE5" s="480"/>
      <c r="AF5" s="480"/>
      <c r="AG5" s="480"/>
      <c r="AH5" s="480"/>
      <c r="AI5" s="480"/>
      <c r="AJ5" s="480"/>
      <c r="AK5" s="480"/>
      <c r="AL5" s="480"/>
      <c r="AM5" s="480"/>
      <c r="AN5" s="480"/>
      <c r="AO5" s="61"/>
      <c r="AP5" s="61"/>
      <c r="AR5" s="545" t="s">
        <v>20</v>
      </c>
      <c r="AS5" s="545"/>
      <c r="AT5" s="545"/>
      <c r="AU5" s="63"/>
    </row>
    <row r="6" spans="2:50" ht="17.399999999999999" x14ac:dyDescent="0.3">
      <c r="B6" s="61"/>
      <c r="C6" s="62"/>
      <c r="D6" s="480" t="s">
        <v>208</v>
      </c>
      <c r="E6" s="310"/>
      <c r="F6" s="310"/>
      <c r="G6" s="310"/>
      <c r="H6" s="310"/>
      <c r="I6" s="310"/>
      <c r="J6" s="310"/>
      <c r="K6" s="310"/>
      <c r="L6" s="310"/>
      <c r="M6" s="310"/>
      <c r="N6" s="310"/>
      <c r="O6" s="310"/>
      <c r="P6" s="310"/>
      <c r="Q6" s="310"/>
      <c r="R6" s="310"/>
      <c r="S6" s="310"/>
      <c r="T6" s="310"/>
      <c r="U6" s="310"/>
      <c r="V6" s="310"/>
      <c r="W6" s="310"/>
      <c r="X6" s="310"/>
      <c r="Y6" s="310"/>
      <c r="Z6" s="310"/>
      <c r="AA6" s="310"/>
      <c r="AB6" s="310"/>
      <c r="AC6" s="310"/>
      <c r="AD6" s="310"/>
      <c r="AE6" s="310"/>
      <c r="AF6" s="310"/>
      <c r="AG6" s="310"/>
      <c r="AH6" s="310"/>
      <c r="AI6" s="310"/>
      <c r="AJ6" s="310"/>
      <c r="AK6" s="310"/>
      <c r="AL6" s="310"/>
      <c r="AM6" s="310"/>
      <c r="AN6" s="310"/>
      <c r="AO6" s="14"/>
      <c r="AP6" s="14"/>
      <c r="AR6" s="545"/>
      <c r="AS6" s="545"/>
      <c r="AT6" s="545"/>
    </row>
    <row r="7" spans="2:50" ht="15" customHeight="1" x14ac:dyDescent="0.3">
      <c r="B7" s="480" t="s">
        <v>41</v>
      </c>
      <c r="C7" s="480"/>
      <c r="D7" s="480"/>
      <c r="E7" s="480"/>
      <c r="F7" s="480"/>
      <c r="G7" s="480"/>
      <c r="H7" s="480"/>
      <c r="I7" s="480"/>
      <c r="J7" s="480"/>
      <c r="K7" s="480"/>
      <c r="L7" s="480"/>
      <c r="M7" s="480"/>
      <c r="N7" s="480"/>
      <c r="O7" s="480"/>
      <c r="P7" s="480"/>
      <c r="Q7" s="480"/>
      <c r="R7" s="480"/>
      <c r="S7" s="480"/>
      <c r="T7" s="480"/>
      <c r="U7" s="480"/>
      <c r="V7" s="480"/>
      <c r="W7" s="480"/>
      <c r="X7" s="480"/>
      <c r="Y7" s="480"/>
      <c r="Z7" s="480"/>
      <c r="AA7" s="480"/>
      <c r="AB7" s="480"/>
      <c r="AC7" s="480"/>
      <c r="AD7" s="480"/>
      <c r="AE7" s="480"/>
      <c r="AF7" s="480"/>
      <c r="AG7" s="480"/>
      <c r="AH7" s="480"/>
      <c r="AI7" s="480"/>
      <c r="AJ7" s="480"/>
      <c r="AK7" s="480"/>
      <c r="AL7" s="480"/>
      <c r="AM7" s="480"/>
      <c r="AN7" s="480"/>
      <c r="AO7" s="61"/>
      <c r="AP7" s="61"/>
      <c r="AS7" s="306" t="s">
        <v>166</v>
      </c>
      <c r="AT7" s="306"/>
      <c r="AU7" s="306"/>
      <c r="AV7" s="306"/>
    </row>
    <row r="8" spans="2:50" ht="15" customHeight="1" x14ac:dyDescent="0.3">
      <c r="B8" s="480" t="s">
        <v>42</v>
      </c>
      <c r="C8" s="480"/>
      <c r="D8" s="480"/>
      <c r="E8" s="480"/>
      <c r="F8" s="480"/>
      <c r="G8" s="480"/>
      <c r="H8" s="480"/>
      <c r="I8" s="480"/>
      <c r="J8" s="480"/>
      <c r="K8" s="480"/>
      <c r="L8" s="480"/>
      <c r="M8" s="480"/>
      <c r="N8" s="480"/>
      <c r="O8" s="480"/>
      <c r="P8" s="480"/>
      <c r="Q8" s="480"/>
      <c r="R8" s="480"/>
      <c r="S8" s="480"/>
      <c r="T8" s="480"/>
      <c r="U8" s="480"/>
      <c r="V8" s="480"/>
      <c r="W8" s="480"/>
      <c r="X8" s="480"/>
      <c r="Y8" s="480"/>
      <c r="Z8" s="480"/>
      <c r="AA8" s="480"/>
      <c r="AB8" s="480"/>
      <c r="AC8" s="480"/>
      <c r="AD8" s="480"/>
      <c r="AE8" s="480"/>
      <c r="AF8" s="480"/>
      <c r="AG8" s="480"/>
      <c r="AH8" s="480"/>
      <c r="AI8" s="480"/>
      <c r="AJ8" s="480"/>
      <c r="AK8" s="480"/>
      <c r="AL8" s="480"/>
      <c r="AM8" s="480"/>
      <c r="AN8" s="480"/>
      <c r="AO8" s="61"/>
      <c r="AP8" s="61"/>
      <c r="AS8" s="306"/>
      <c r="AT8" s="306"/>
      <c r="AU8" s="306"/>
      <c r="AV8" s="306"/>
    </row>
    <row r="9" spans="2:50" ht="15" customHeight="1" x14ac:dyDescent="0.3">
      <c r="B9" s="61"/>
      <c r="C9" s="61"/>
      <c r="D9" s="61"/>
      <c r="E9" s="61"/>
      <c r="F9" s="61"/>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R9" s="545" t="s">
        <v>21</v>
      </c>
      <c r="AS9" s="545"/>
      <c r="AT9" s="545"/>
      <c r="AU9" s="545"/>
      <c r="AV9" s="545"/>
      <c r="AW9" s="63"/>
      <c r="AX9" s="63"/>
    </row>
    <row r="10" spans="2:50" ht="15" customHeight="1" x14ac:dyDescent="0.3">
      <c r="B10" s="1"/>
      <c r="C10" s="481" t="s">
        <v>38</v>
      </c>
      <c r="D10" s="482"/>
      <c r="E10" s="482"/>
      <c r="F10" s="482"/>
      <c r="G10" s="482"/>
      <c r="H10" s="482"/>
      <c r="I10" s="482"/>
      <c r="J10" s="482"/>
      <c r="K10" s="482"/>
      <c r="L10" s="482"/>
      <c r="M10" s="482"/>
      <c r="N10" s="482"/>
      <c r="O10" s="482"/>
      <c r="P10" s="482"/>
      <c r="Q10" s="482"/>
      <c r="R10" s="482"/>
      <c r="S10" s="482"/>
      <c r="T10" s="482"/>
      <c r="U10" s="482"/>
      <c r="V10" s="482"/>
      <c r="W10" s="482"/>
      <c r="X10" s="482"/>
      <c r="Y10" s="482"/>
      <c r="Z10" s="482"/>
      <c r="AA10" s="482"/>
      <c r="AB10" s="482"/>
      <c r="AC10" s="482"/>
      <c r="AD10" s="482"/>
      <c r="AE10" s="482"/>
      <c r="AF10" s="482"/>
      <c r="AG10" s="482"/>
      <c r="AH10" s="482"/>
      <c r="AI10" s="482"/>
      <c r="AJ10" s="482"/>
      <c r="AK10" s="482"/>
      <c r="AL10" s="482"/>
      <c r="AM10" s="482"/>
      <c r="AN10" s="482"/>
      <c r="AO10" s="1"/>
      <c r="AP10" s="1"/>
      <c r="AR10" s="545"/>
      <c r="AS10" s="545"/>
      <c r="AT10" s="545"/>
      <c r="AU10" s="545"/>
      <c r="AV10" s="545"/>
      <c r="AW10" s="63"/>
      <c r="AX10" s="63"/>
    </row>
    <row r="11" spans="2:50" ht="15" customHeight="1" x14ac:dyDescent="0.3">
      <c r="B11" s="1"/>
      <c r="C11" s="469">
        <v>1</v>
      </c>
      <c r="D11" s="469" t="s">
        <v>85</v>
      </c>
      <c r="E11" s="220"/>
      <c r="F11" s="220"/>
      <c r="G11" s="220"/>
      <c r="H11" s="220"/>
      <c r="I11" s="220"/>
      <c r="J11" s="220"/>
      <c r="K11" s="220"/>
      <c r="L11" s="220"/>
      <c r="M11" s="220"/>
      <c r="N11" s="220"/>
      <c r="O11" s="220"/>
      <c r="P11" s="220"/>
      <c r="Q11" s="220"/>
      <c r="R11" s="220"/>
      <c r="S11" s="470"/>
      <c r="T11" s="10" t="s">
        <v>5</v>
      </c>
      <c r="U11" s="477" t="str">
        <f>IF(ISBLANK('Basic Information'!L6)," ",PROPER('Basic Information'!L6))</f>
        <v xml:space="preserve"> </v>
      </c>
      <c r="V11" s="477"/>
      <c r="W11" s="477"/>
      <c r="X11" s="477"/>
      <c r="Y11" s="477"/>
      <c r="Z11" s="477"/>
      <c r="AA11" s="477"/>
      <c r="AB11" s="477"/>
      <c r="AC11" s="477"/>
      <c r="AD11" s="477"/>
      <c r="AE11" s="477"/>
      <c r="AF11" s="477"/>
      <c r="AG11" s="477"/>
      <c r="AH11" s="477"/>
      <c r="AI11" s="477"/>
      <c r="AJ11" s="477"/>
      <c r="AK11" s="477"/>
      <c r="AL11" s="477"/>
      <c r="AM11" s="477"/>
      <c r="AN11" s="477"/>
      <c r="AO11" s="61"/>
      <c r="AP11" s="61"/>
      <c r="AR11" s="309" t="s">
        <v>165</v>
      </c>
      <c r="AS11" s="309"/>
      <c r="AT11" s="309"/>
      <c r="AU11" s="309"/>
      <c r="AV11" s="309"/>
      <c r="AW11" s="309"/>
      <c r="AX11" s="64"/>
    </row>
    <row r="12" spans="2:50" ht="15" customHeight="1" x14ac:dyDescent="0.3">
      <c r="B12" s="1"/>
      <c r="C12" s="469"/>
      <c r="D12" s="484" t="s">
        <v>193</v>
      </c>
      <c r="E12" s="220"/>
      <c r="F12" s="220"/>
      <c r="G12" s="220"/>
      <c r="H12" s="220"/>
      <c r="I12" s="220"/>
      <c r="J12" s="220"/>
      <c r="K12" s="220"/>
      <c r="L12" s="220"/>
      <c r="M12" s="220"/>
      <c r="N12" s="220"/>
      <c r="O12" s="220"/>
      <c r="P12" s="220"/>
      <c r="Q12" s="220"/>
      <c r="R12" s="220"/>
      <c r="S12" s="220"/>
      <c r="T12" s="220"/>
      <c r="U12" s="220"/>
      <c r="V12" s="220"/>
      <c r="W12" s="220"/>
      <c r="X12" s="220"/>
      <c r="Y12" s="220"/>
      <c r="Z12" s="220"/>
      <c r="AA12" s="220"/>
      <c r="AB12" s="220"/>
      <c r="AC12" s="220"/>
      <c r="AD12" s="220"/>
      <c r="AE12" s="220"/>
      <c r="AF12" s="220"/>
      <c r="AG12" s="220"/>
      <c r="AH12" s="220"/>
      <c r="AI12" s="220"/>
      <c r="AJ12" s="220"/>
      <c r="AK12" s="220"/>
      <c r="AL12" s="220"/>
      <c r="AM12" s="220"/>
      <c r="AN12" s="220"/>
      <c r="AO12" s="61"/>
      <c r="AP12" s="61"/>
      <c r="AR12" s="309"/>
      <c r="AS12" s="309"/>
      <c r="AT12" s="309"/>
      <c r="AU12" s="309"/>
      <c r="AV12" s="309"/>
      <c r="AW12" s="309"/>
      <c r="AX12" s="64"/>
    </row>
    <row r="13" spans="2:50" ht="15" customHeight="1" x14ac:dyDescent="0.3">
      <c r="B13" s="1"/>
      <c r="C13" s="469"/>
      <c r="D13" s="469" t="s">
        <v>138</v>
      </c>
      <c r="E13" s="220"/>
      <c r="F13" s="220"/>
      <c r="G13" s="220"/>
      <c r="H13" s="220"/>
      <c r="I13" s="220"/>
      <c r="J13" s="220"/>
      <c r="K13" s="220"/>
      <c r="L13" s="220"/>
      <c r="M13" s="220"/>
      <c r="N13" s="220"/>
      <c r="O13" s="220"/>
      <c r="P13" s="220"/>
      <c r="Q13" s="220"/>
      <c r="R13" s="220"/>
      <c r="S13" s="470"/>
      <c r="T13" s="10" t="s">
        <v>5</v>
      </c>
      <c r="U13" s="544" t="str">
        <f>IF(ISBLANK('Form 10E - Old Scheme'!U13),"",'Form 10E - Old Scheme'!U13)</f>
        <v/>
      </c>
      <c r="V13" s="544"/>
      <c r="W13" s="544"/>
      <c r="X13" s="544"/>
      <c r="Y13" s="544"/>
      <c r="Z13" s="544"/>
      <c r="AA13" s="544"/>
      <c r="AB13" s="544"/>
      <c r="AC13" s="544"/>
      <c r="AD13" s="544"/>
      <c r="AE13" s="544"/>
      <c r="AF13" s="544"/>
      <c r="AG13" s="544"/>
      <c r="AH13" s="544"/>
      <c r="AI13" s="544"/>
      <c r="AJ13" s="544"/>
      <c r="AK13" s="544"/>
      <c r="AL13" s="544"/>
      <c r="AM13" s="544"/>
      <c r="AN13" s="544"/>
      <c r="AO13" s="1"/>
      <c r="AP13" s="1"/>
      <c r="AR13" s="547" t="s">
        <v>36</v>
      </c>
      <c r="AS13" s="547"/>
      <c r="AT13" s="547"/>
      <c r="AU13" s="547"/>
      <c r="AV13" s="547"/>
      <c r="AW13" s="547"/>
      <c r="AX13" s="64"/>
    </row>
    <row r="14" spans="2:50" ht="15" customHeight="1" x14ac:dyDescent="0.3">
      <c r="B14" s="1"/>
      <c r="C14" s="469"/>
      <c r="D14" s="469" t="s">
        <v>139</v>
      </c>
      <c r="E14" s="220"/>
      <c r="F14" s="220"/>
      <c r="G14" s="220"/>
      <c r="H14" s="220"/>
      <c r="I14" s="220"/>
      <c r="J14" s="220"/>
      <c r="K14" s="220"/>
      <c r="L14" s="220"/>
      <c r="M14" s="220"/>
      <c r="N14" s="220"/>
      <c r="O14" s="220"/>
      <c r="P14" s="220"/>
      <c r="Q14" s="220"/>
      <c r="R14" s="220"/>
      <c r="S14" s="470"/>
      <c r="T14" s="10" t="s">
        <v>5</v>
      </c>
      <c r="U14" s="477" t="str">
        <f>IF(ISBLANK('Form 10E - Old Scheme'!U14),"",'Form 10E - Old Scheme'!U14)</f>
        <v/>
      </c>
      <c r="V14" s="477"/>
      <c r="W14" s="477"/>
      <c r="X14" s="477"/>
      <c r="Y14" s="477"/>
      <c r="Z14" s="477"/>
      <c r="AA14" s="477"/>
      <c r="AB14" s="477"/>
      <c r="AC14" s="477"/>
      <c r="AD14" s="477"/>
      <c r="AE14" s="477"/>
      <c r="AF14" s="477"/>
      <c r="AG14" s="477"/>
      <c r="AH14" s="477"/>
      <c r="AI14" s="477"/>
      <c r="AJ14" s="477"/>
      <c r="AK14" s="477"/>
      <c r="AL14" s="477"/>
      <c r="AM14" s="477"/>
      <c r="AN14" s="477"/>
      <c r="AO14" s="1"/>
      <c r="AP14" s="1"/>
      <c r="AR14" s="547"/>
      <c r="AS14" s="547"/>
      <c r="AT14" s="547"/>
      <c r="AU14" s="547"/>
      <c r="AV14" s="547"/>
      <c r="AW14" s="547"/>
      <c r="AX14" s="64"/>
    </row>
    <row r="15" spans="2:50" ht="15" customHeight="1" x14ac:dyDescent="0.3">
      <c r="B15" s="1"/>
      <c r="C15" s="469"/>
      <c r="D15" s="469" t="s">
        <v>137</v>
      </c>
      <c r="E15" s="220"/>
      <c r="F15" s="220"/>
      <c r="G15" s="220"/>
      <c r="H15" s="220"/>
      <c r="I15" s="220"/>
      <c r="J15" s="220"/>
      <c r="K15" s="220"/>
      <c r="L15" s="220"/>
      <c r="M15" s="220"/>
      <c r="N15" s="220"/>
      <c r="O15" s="220"/>
      <c r="P15" s="220"/>
      <c r="Q15" s="220"/>
      <c r="R15" s="220"/>
      <c r="S15" s="470"/>
      <c r="T15" s="10" t="s">
        <v>5</v>
      </c>
      <c r="U15" s="544" t="str">
        <f>IF(ISBLANK('Form 10E - Old Scheme'!U15),"",'Form 10E - Old Scheme'!U15)</f>
        <v/>
      </c>
      <c r="V15" s="544"/>
      <c r="W15" s="544"/>
      <c r="X15" s="544"/>
      <c r="Y15" s="544"/>
      <c r="Z15" s="544"/>
      <c r="AA15" s="544"/>
      <c r="AB15" s="544"/>
      <c r="AC15" s="544"/>
      <c r="AD15" s="544"/>
      <c r="AE15" s="544"/>
      <c r="AF15" s="544"/>
      <c r="AG15" s="544"/>
      <c r="AH15" s="544"/>
      <c r="AI15" s="544"/>
      <c r="AJ15" s="544"/>
      <c r="AK15" s="544"/>
      <c r="AL15" s="544"/>
      <c r="AM15" s="544"/>
      <c r="AN15" s="544"/>
      <c r="AO15" s="1"/>
      <c r="AP15" s="1"/>
      <c r="AS15" s="487" t="s">
        <v>22</v>
      </c>
      <c r="AT15" s="96"/>
      <c r="AU15" s="96"/>
      <c r="AV15" s="548"/>
      <c r="AW15" s="549"/>
      <c r="AX15" s="64"/>
    </row>
    <row r="16" spans="2:50" ht="15" customHeight="1" x14ac:dyDescent="0.3">
      <c r="B16" s="1"/>
      <c r="C16" s="469"/>
      <c r="D16" s="469" t="s">
        <v>136</v>
      </c>
      <c r="E16" s="220"/>
      <c r="F16" s="220"/>
      <c r="G16" s="220"/>
      <c r="H16" s="220"/>
      <c r="I16" s="220"/>
      <c r="J16" s="220"/>
      <c r="K16" s="220"/>
      <c r="L16" s="220"/>
      <c r="M16" s="220"/>
      <c r="N16" s="220"/>
      <c r="O16" s="220"/>
      <c r="P16" s="220"/>
      <c r="Q16" s="220"/>
      <c r="R16" s="220"/>
      <c r="S16" s="470"/>
      <c r="T16" s="10" t="s">
        <v>5</v>
      </c>
      <c r="U16" s="477" t="str">
        <f>IF(ISBLANK('Form 10E - Old Scheme'!U16),"",'Form 10E - Old Scheme'!U16)</f>
        <v/>
      </c>
      <c r="V16" s="477"/>
      <c r="W16" s="477"/>
      <c r="X16" s="477"/>
      <c r="Y16" s="477"/>
      <c r="Z16" s="477"/>
      <c r="AA16" s="477"/>
      <c r="AB16" s="477"/>
      <c r="AC16" s="477"/>
      <c r="AD16" s="477"/>
      <c r="AE16" s="477"/>
      <c r="AF16" s="477"/>
      <c r="AG16" s="477"/>
      <c r="AH16" s="477"/>
      <c r="AI16" s="477"/>
      <c r="AJ16" s="477"/>
      <c r="AK16" s="477"/>
      <c r="AL16" s="477"/>
      <c r="AM16" s="477"/>
      <c r="AN16" s="477"/>
      <c r="AO16" s="1"/>
      <c r="AP16" s="1"/>
      <c r="AS16" s="71"/>
      <c r="AT16" s="71"/>
      <c r="AU16" s="71"/>
      <c r="AV16" s="64"/>
      <c r="AW16" s="72"/>
      <c r="AX16" s="64"/>
    </row>
    <row r="17" spans="2:51" ht="15" customHeight="1" x14ac:dyDescent="0.3">
      <c r="B17" s="1"/>
      <c r="C17" s="469"/>
      <c r="D17" s="469" t="s">
        <v>135</v>
      </c>
      <c r="E17" s="220"/>
      <c r="F17" s="220"/>
      <c r="G17" s="220"/>
      <c r="H17" s="220"/>
      <c r="I17" s="220"/>
      <c r="J17" s="220"/>
      <c r="K17" s="220"/>
      <c r="L17" s="220"/>
      <c r="M17" s="220"/>
      <c r="N17" s="220"/>
      <c r="O17" s="220"/>
      <c r="P17" s="220"/>
      <c r="Q17" s="220"/>
      <c r="R17" s="220"/>
      <c r="S17" s="470"/>
      <c r="T17" s="10" t="s">
        <v>5</v>
      </c>
      <c r="U17" s="544" t="str">
        <f>IF(ISBLANK('Form 10E - Old Scheme'!U17),"",'Form 10E - Old Scheme'!U17)</f>
        <v/>
      </c>
      <c r="V17" s="544"/>
      <c r="W17" s="544"/>
      <c r="X17" s="544"/>
      <c r="Y17" s="544"/>
      <c r="Z17" s="544"/>
      <c r="AA17" s="544"/>
      <c r="AB17" s="544"/>
      <c r="AC17" s="544"/>
      <c r="AD17" s="544"/>
      <c r="AE17" s="544"/>
      <c r="AF17" s="544"/>
      <c r="AG17" s="544"/>
      <c r="AH17" s="544"/>
      <c r="AI17" s="544"/>
      <c r="AJ17" s="544"/>
      <c r="AK17" s="544"/>
      <c r="AL17" s="544"/>
      <c r="AM17" s="544"/>
      <c r="AN17" s="544"/>
      <c r="AO17" s="1"/>
      <c r="AP17" s="1"/>
      <c r="AU17" s="64"/>
      <c r="AV17" s="64"/>
      <c r="AW17" s="64"/>
      <c r="AX17" s="64"/>
    </row>
    <row r="18" spans="2:51" ht="15" customHeight="1" x14ac:dyDescent="0.3">
      <c r="B18" s="1"/>
      <c r="C18" s="469"/>
      <c r="D18" s="469" t="s">
        <v>86</v>
      </c>
      <c r="E18" s="220"/>
      <c r="F18" s="220"/>
      <c r="G18" s="220"/>
      <c r="H18" s="220"/>
      <c r="I18" s="220"/>
      <c r="J18" s="220"/>
      <c r="K18" s="220"/>
      <c r="L18" s="220"/>
      <c r="M18" s="220"/>
      <c r="N18" s="220"/>
      <c r="O18" s="220"/>
      <c r="P18" s="220"/>
      <c r="Q18" s="220"/>
      <c r="R18" s="220"/>
      <c r="S18" s="470"/>
      <c r="T18" s="10" t="s">
        <v>5</v>
      </c>
      <c r="U18" s="477" t="str">
        <f>IF(ISBLANK('Form 10E - Old Scheme'!U18),"",'Form 10E - Old Scheme'!U18)</f>
        <v/>
      </c>
      <c r="V18" s="477"/>
      <c r="W18" s="477"/>
      <c r="X18" s="477"/>
      <c r="Y18" s="477"/>
      <c r="Z18" s="477"/>
      <c r="AA18" s="477"/>
      <c r="AB18" s="477"/>
      <c r="AC18" s="477"/>
      <c r="AD18" s="477"/>
      <c r="AE18" s="477"/>
      <c r="AF18" s="477"/>
      <c r="AG18" s="477"/>
      <c r="AH18" s="477"/>
      <c r="AI18" s="477"/>
      <c r="AJ18" s="477"/>
      <c r="AK18" s="477"/>
      <c r="AL18" s="477"/>
      <c r="AM18" s="477"/>
      <c r="AN18" s="477"/>
      <c r="AO18" s="1"/>
      <c r="AP18" s="1"/>
      <c r="AR18" s="315" t="s">
        <v>192</v>
      </c>
      <c r="AS18" s="315"/>
      <c r="AT18" s="315"/>
      <c r="AU18" s="315"/>
      <c r="AV18" s="315"/>
      <c r="AW18" s="315"/>
      <c r="AX18" s="546"/>
    </row>
    <row r="19" spans="2:51" ht="15" customHeight="1" x14ac:dyDescent="0.3">
      <c r="B19" s="1"/>
      <c r="C19" s="483"/>
      <c r="D19" s="469" t="s">
        <v>194</v>
      </c>
      <c r="E19" s="220"/>
      <c r="F19" s="220"/>
      <c r="G19" s="220"/>
      <c r="H19" s="220"/>
      <c r="I19" s="220"/>
      <c r="J19" s="220"/>
      <c r="K19" s="220"/>
      <c r="L19" s="220"/>
      <c r="M19" s="220"/>
      <c r="N19" s="220"/>
      <c r="O19" s="220"/>
      <c r="P19" s="220"/>
      <c r="Q19" s="220"/>
      <c r="R19" s="220"/>
      <c r="S19" s="470"/>
      <c r="T19" s="10" t="s">
        <v>5</v>
      </c>
      <c r="U19" s="544" t="str">
        <f>IF(ISBLANK('Form 10E - Old Scheme'!U19),"",'Form 10E - Old Scheme'!U19)</f>
        <v/>
      </c>
      <c r="V19" s="544"/>
      <c r="W19" s="544"/>
      <c r="X19" s="544"/>
      <c r="Y19" s="544"/>
      <c r="Z19" s="544"/>
      <c r="AA19" s="544"/>
      <c r="AB19" s="544"/>
      <c r="AC19" s="544"/>
      <c r="AD19" s="544"/>
      <c r="AE19" s="544"/>
      <c r="AF19" s="544"/>
      <c r="AG19" s="544"/>
      <c r="AH19" s="544"/>
      <c r="AI19" s="544"/>
      <c r="AJ19" s="544"/>
      <c r="AK19" s="544"/>
      <c r="AL19" s="544"/>
      <c r="AM19" s="544"/>
      <c r="AN19" s="544"/>
      <c r="AO19" s="1"/>
      <c r="AP19" s="1"/>
      <c r="AR19" s="315"/>
      <c r="AS19" s="315"/>
      <c r="AT19" s="315"/>
      <c r="AU19" s="315"/>
      <c r="AV19" s="315"/>
      <c r="AW19" s="315"/>
      <c r="AX19" s="546"/>
    </row>
    <row r="20" spans="2:51" ht="15" customHeight="1" x14ac:dyDescent="0.3">
      <c r="B20" s="1"/>
      <c r="C20" s="9">
        <v>2</v>
      </c>
      <c r="D20" s="473" t="s">
        <v>43</v>
      </c>
      <c r="E20" s="473"/>
      <c r="F20" s="473"/>
      <c r="G20" s="473"/>
      <c r="H20" s="473"/>
      <c r="I20" s="473"/>
      <c r="J20" s="473"/>
      <c r="K20" s="473"/>
      <c r="L20" s="473"/>
      <c r="M20" s="473"/>
      <c r="N20" s="473"/>
      <c r="O20" s="473"/>
      <c r="P20" s="473"/>
      <c r="Q20" s="473"/>
      <c r="R20" s="473"/>
      <c r="S20" s="474"/>
      <c r="T20" s="11" t="s">
        <v>5</v>
      </c>
      <c r="U20" s="477" t="str">
        <f>IF(ISNONTEXT('Basic Information'!AK6)," ",UPPER('Basic Information'!AK6))</f>
        <v xml:space="preserve"> </v>
      </c>
      <c r="V20" s="477"/>
      <c r="W20" s="477"/>
      <c r="X20" s="477"/>
      <c r="Y20" s="477"/>
      <c r="Z20" s="477"/>
      <c r="AA20" s="477"/>
      <c r="AB20" s="477"/>
      <c r="AC20" s="477"/>
      <c r="AD20" s="477"/>
      <c r="AE20" s="477"/>
      <c r="AF20" s="477"/>
      <c r="AG20" s="477"/>
      <c r="AH20" s="477"/>
      <c r="AI20" s="477"/>
      <c r="AJ20" s="477"/>
      <c r="AK20" s="477"/>
      <c r="AL20" s="477"/>
      <c r="AM20" s="477"/>
      <c r="AN20" s="477"/>
      <c r="AO20" s="1"/>
      <c r="AP20" s="1"/>
      <c r="AR20" s="315"/>
      <c r="AS20" s="315"/>
      <c r="AT20" s="315"/>
      <c r="AU20" s="315"/>
      <c r="AV20" s="315"/>
      <c r="AW20" s="315"/>
      <c r="AX20" s="546"/>
    </row>
    <row r="21" spans="2:51" x14ac:dyDescent="0.3">
      <c r="B21" s="1"/>
      <c r="C21" s="9">
        <v>3</v>
      </c>
      <c r="D21" s="473" t="s">
        <v>44</v>
      </c>
      <c r="E21" s="473"/>
      <c r="F21" s="473"/>
      <c r="G21" s="473"/>
      <c r="H21" s="473"/>
      <c r="I21" s="473"/>
      <c r="J21" s="473"/>
      <c r="K21" s="473"/>
      <c r="L21" s="473"/>
      <c r="M21" s="473"/>
      <c r="N21" s="473"/>
      <c r="O21" s="473"/>
      <c r="P21" s="473"/>
      <c r="Q21" s="473"/>
      <c r="R21" s="473"/>
      <c r="S21" s="474"/>
      <c r="T21" s="11" t="s">
        <v>5</v>
      </c>
      <c r="U21" s="544" t="str">
        <f>IF(ISBLANK('Form 10E - Old Scheme'!U21),"",'Form 10E - Old Scheme'!U21)</f>
        <v/>
      </c>
      <c r="V21" s="544"/>
      <c r="W21" s="544"/>
      <c r="X21" s="544"/>
      <c r="Y21" s="544"/>
      <c r="Z21" s="544"/>
      <c r="AA21" s="544"/>
      <c r="AB21" s="544"/>
      <c r="AC21" s="544"/>
      <c r="AD21" s="544"/>
      <c r="AE21" s="544"/>
      <c r="AF21" s="544"/>
      <c r="AG21" s="544"/>
      <c r="AH21" s="544"/>
      <c r="AI21" s="544"/>
      <c r="AJ21" s="544"/>
      <c r="AK21" s="544"/>
      <c r="AL21" s="544"/>
      <c r="AM21" s="544"/>
      <c r="AN21" s="544"/>
      <c r="AO21" s="1"/>
      <c r="AP21" s="1"/>
      <c r="AR21" s="315"/>
      <c r="AS21" s="315"/>
      <c r="AT21" s="315"/>
      <c r="AU21" s="315"/>
      <c r="AV21" s="315"/>
      <c r="AW21" s="315"/>
      <c r="AX21" s="546"/>
    </row>
    <row r="22" spans="2:51" x14ac:dyDescent="0.3">
      <c r="B22" s="1"/>
      <c r="C22" s="9">
        <v>4</v>
      </c>
      <c r="D22" s="473" t="s">
        <v>46</v>
      </c>
      <c r="E22" s="473"/>
      <c r="F22" s="473"/>
      <c r="G22" s="473"/>
      <c r="H22" s="473"/>
      <c r="I22" s="473"/>
      <c r="J22" s="473"/>
      <c r="K22" s="473"/>
      <c r="L22" s="473"/>
      <c r="M22" s="473"/>
      <c r="N22" s="473"/>
      <c r="O22" s="473"/>
      <c r="P22" s="473"/>
      <c r="Q22" s="473"/>
      <c r="R22" s="473"/>
      <c r="S22" s="474"/>
      <c r="T22" s="11" t="s">
        <v>5</v>
      </c>
      <c r="U22" s="477" t="str">
        <f>IF(ISBLANK('Form 10E - Old Scheme'!U22),"",'Form 10E - Old Scheme'!U22)</f>
        <v/>
      </c>
      <c r="V22" s="477"/>
      <c r="W22" s="477"/>
      <c r="X22" s="477"/>
      <c r="Y22" s="477"/>
      <c r="Z22" s="477"/>
      <c r="AA22" s="477"/>
      <c r="AB22" s="477"/>
      <c r="AC22" s="477"/>
      <c r="AD22" s="477"/>
      <c r="AE22" s="477"/>
      <c r="AF22" s="477"/>
      <c r="AG22" s="477"/>
      <c r="AH22" s="477"/>
      <c r="AI22" s="477"/>
      <c r="AJ22" s="477"/>
      <c r="AK22" s="477"/>
      <c r="AL22" s="477"/>
      <c r="AM22" s="477"/>
      <c r="AN22" s="477"/>
      <c r="AO22" s="1"/>
      <c r="AP22" s="1"/>
      <c r="AQ22" s="2" t="str">
        <f>IF(AND(NOT(ISBLANK(AF27)), OR(ISBLANK(U22),U22="SELECT")),"Please select Gender","")</f>
        <v/>
      </c>
      <c r="AT22" s="1"/>
      <c r="AU22" s="1"/>
      <c r="AV22" s="1"/>
      <c r="AW22" s="1"/>
      <c r="AX22" s="1"/>
    </row>
    <row r="23" spans="2:51" x14ac:dyDescent="0.3">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T23" s="1"/>
      <c r="AU23" s="67"/>
      <c r="AV23" s="67"/>
      <c r="AW23" s="1"/>
      <c r="AX23" s="1"/>
    </row>
    <row r="24" spans="2:51" x14ac:dyDescent="0.3">
      <c r="B24" s="1"/>
      <c r="C24" s="374" t="s">
        <v>47</v>
      </c>
      <c r="D24" s="374"/>
      <c r="E24" s="374"/>
      <c r="F24" s="374"/>
      <c r="G24" s="374"/>
      <c r="H24" s="374"/>
      <c r="I24" s="374"/>
      <c r="J24" s="374"/>
      <c r="K24" s="374"/>
      <c r="L24" s="374"/>
      <c r="M24" s="374"/>
      <c r="N24" s="374"/>
      <c r="O24" s="374"/>
      <c r="P24" s="374"/>
      <c r="Q24" s="374"/>
      <c r="R24" s="374"/>
      <c r="S24" s="374"/>
      <c r="T24" s="374"/>
      <c r="U24" s="374"/>
      <c r="V24" s="374"/>
      <c r="W24" s="374"/>
      <c r="X24" s="374"/>
      <c r="Y24" s="374"/>
      <c r="Z24" s="374"/>
      <c r="AA24" s="374"/>
      <c r="AB24" s="374"/>
      <c r="AC24" s="374"/>
      <c r="AD24" s="374"/>
      <c r="AE24" s="374"/>
      <c r="AF24" s="374"/>
      <c r="AG24" s="374"/>
      <c r="AH24" s="374"/>
      <c r="AI24" s="374"/>
      <c r="AJ24" s="374"/>
      <c r="AK24" s="374"/>
      <c r="AL24" s="374"/>
      <c r="AM24" s="374"/>
      <c r="AN24" s="374"/>
      <c r="AO24" s="62"/>
      <c r="AP24" s="62"/>
    </row>
    <row r="25" spans="2:51" x14ac:dyDescent="0.3">
      <c r="B25" s="1"/>
      <c r="C25" s="1"/>
      <c r="D25" s="1"/>
      <c r="E25" s="1"/>
      <c r="F25" s="1"/>
      <c r="G25" s="475" t="s">
        <v>78</v>
      </c>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c r="AE25" s="476" t="s">
        <v>231</v>
      </c>
      <c r="AF25" s="476"/>
      <c r="AG25" s="476"/>
      <c r="AH25" s="476"/>
      <c r="AI25" s="476"/>
      <c r="AJ25" s="476"/>
      <c r="AK25" s="476"/>
      <c r="AL25" s="476"/>
      <c r="AM25" s="1"/>
      <c r="AN25" s="1"/>
      <c r="AO25" s="1"/>
      <c r="AP25" s="1"/>
      <c r="AQ25" s="2" t="str">
        <f>IF(AND(NOT(ISBLANK(AF27)), OR(ISBLANK(AE25),AE25="SELECT")),"Please select a Assessement Year","")</f>
        <v/>
      </c>
    </row>
    <row r="26" spans="2:51" ht="15" customHeight="1" x14ac:dyDescent="0.3">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T26" s="58" t="s">
        <v>162</v>
      </c>
      <c r="AU26" s="59"/>
      <c r="AV26" s="59"/>
      <c r="AW26" s="59"/>
      <c r="AX26" s="59"/>
      <c r="AY26" s="59"/>
    </row>
    <row r="27" spans="2:51" ht="15" customHeight="1" x14ac:dyDescent="0.3">
      <c r="B27" s="1"/>
      <c r="C27" s="352">
        <v>1</v>
      </c>
      <c r="D27" s="352" t="s">
        <v>8</v>
      </c>
      <c r="E27" s="352"/>
      <c r="F27" s="415" t="s">
        <v>48</v>
      </c>
      <c r="G27" s="416"/>
      <c r="H27" s="416"/>
      <c r="I27" s="416"/>
      <c r="J27" s="416"/>
      <c r="K27" s="416"/>
      <c r="L27" s="416"/>
      <c r="M27" s="416"/>
      <c r="N27" s="416"/>
      <c r="O27" s="416"/>
      <c r="P27" s="416"/>
      <c r="Q27" s="416"/>
      <c r="R27" s="416"/>
      <c r="S27" s="416"/>
      <c r="T27" s="416"/>
      <c r="U27" s="416"/>
      <c r="V27" s="416"/>
      <c r="W27" s="416"/>
      <c r="X27" s="416"/>
      <c r="Y27" s="416"/>
      <c r="Z27" s="416"/>
      <c r="AA27" s="416"/>
      <c r="AB27" s="416"/>
      <c r="AC27" s="416"/>
      <c r="AD27" s="417"/>
      <c r="AE27" s="418"/>
      <c r="AF27" s="539">
        <f>IF(AND(AP27&gt;='Form 10E - Old Scheme'!AF27,ISNUMBER('Form 10E - Old Scheme'!AF27)),'Form 10E - Old Scheme'!AF27,0)</f>
        <v>0</v>
      </c>
      <c r="AG27" s="540"/>
      <c r="AH27" s="540"/>
      <c r="AI27" s="540"/>
      <c r="AJ27" s="540"/>
      <c r="AK27" s="540"/>
      <c r="AL27" s="540"/>
      <c r="AM27" s="540"/>
      <c r="AN27" s="541"/>
      <c r="AO27" s="3"/>
      <c r="AP27" s="93">
        <f>SUM('Income Tax Proforma - New Schem'!N34,'Income Tax Proforma - New Schem'!AH34,'Income Tax Proforma - New Schem'!BC34)</f>
        <v>0</v>
      </c>
      <c r="AT27" s="55"/>
      <c r="AU27" s="55"/>
      <c r="AV27" s="55"/>
      <c r="AW27" s="55"/>
      <c r="AX27" s="55"/>
      <c r="AY27" s="55"/>
    </row>
    <row r="28" spans="2:51" ht="15" customHeight="1" x14ac:dyDescent="0.3">
      <c r="B28" s="1"/>
      <c r="C28" s="403"/>
      <c r="D28" s="403"/>
      <c r="E28" s="403"/>
      <c r="F28" s="419"/>
      <c r="G28" s="420"/>
      <c r="H28" s="420"/>
      <c r="I28" s="420"/>
      <c r="J28" s="420"/>
      <c r="K28" s="420"/>
      <c r="L28" s="420"/>
      <c r="M28" s="420"/>
      <c r="N28" s="420"/>
      <c r="O28" s="420"/>
      <c r="P28" s="420"/>
      <c r="Q28" s="420"/>
      <c r="R28" s="420"/>
      <c r="S28" s="420"/>
      <c r="T28" s="420"/>
      <c r="U28" s="420"/>
      <c r="V28" s="420"/>
      <c r="W28" s="420"/>
      <c r="X28" s="420"/>
      <c r="Y28" s="420"/>
      <c r="Z28" s="420"/>
      <c r="AA28" s="420"/>
      <c r="AB28" s="420"/>
      <c r="AC28" s="420"/>
      <c r="AD28" s="421"/>
      <c r="AE28" s="422"/>
      <c r="AF28" s="542"/>
      <c r="AG28" s="542"/>
      <c r="AH28" s="542"/>
      <c r="AI28" s="542"/>
      <c r="AJ28" s="542"/>
      <c r="AK28" s="542"/>
      <c r="AL28" s="542"/>
      <c r="AM28" s="542"/>
      <c r="AN28" s="543"/>
      <c r="AO28" s="3"/>
      <c r="AP28" s="3"/>
      <c r="AT28" s="55"/>
      <c r="AU28" s="55"/>
      <c r="AV28" s="55"/>
      <c r="AW28" s="55"/>
      <c r="AX28" s="55"/>
      <c r="AY28" s="55"/>
    </row>
    <row r="29" spans="2:51" ht="15" customHeight="1" x14ac:dyDescent="0.3">
      <c r="B29" s="1"/>
      <c r="C29" s="431"/>
      <c r="D29" s="434" t="s">
        <v>9</v>
      </c>
      <c r="E29" s="435"/>
      <c r="F29" s="415" t="s">
        <v>79</v>
      </c>
      <c r="G29" s="440"/>
      <c r="H29" s="440"/>
      <c r="I29" s="440"/>
      <c r="J29" s="440"/>
      <c r="K29" s="440"/>
      <c r="L29" s="440"/>
      <c r="M29" s="440"/>
      <c r="N29" s="440"/>
      <c r="O29" s="440"/>
      <c r="P29" s="440"/>
      <c r="Q29" s="440"/>
      <c r="R29" s="440"/>
      <c r="S29" s="440"/>
      <c r="T29" s="440"/>
      <c r="U29" s="440"/>
      <c r="V29" s="440"/>
      <c r="W29" s="440"/>
      <c r="X29" s="440"/>
      <c r="Y29" s="440"/>
      <c r="Z29" s="440"/>
      <c r="AA29" s="440"/>
      <c r="AB29" s="440"/>
      <c r="AC29" s="440"/>
      <c r="AD29" s="440"/>
      <c r="AE29" s="441"/>
      <c r="AF29" s="423" t="s">
        <v>49</v>
      </c>
      <c r="AG29" s="461"/>
      <c r="AH29" s="461"/>
      <c r="AI29" s="461"/>
      <c r="AJ29" s="461"/>
      <c r="AK29" s="461"/>
      <c r="AL29" s="461"/>
      <c r="AM29" s="461"/>
      <c r="AN29" s="462"/>
      <c r="AO29" s="3"/>
      <c r="AP29" s="3"/>
      <c r="AT29" s="55"/>
      <c r="AU29" s="55"/>
      <c r="AV29" s="55"/>
      <c r="AW29" s="55"/>
      <c r="AX29" s="55"/>
      <c r="AY29" s="55"/>
    </row>
    <row r="30" spans="2:51" ht="15" customHeight="1" x14ac:dyDescent="0.3">
      <c r="B30" s="1"/>
      <c r="C30" s="432"/>
      <c r="D30" s="436"/>
      <c r="E30" s="437"/>
      <c r="F30" s="442"/>
      <c r="G30" s="443"/>
      <c r="H30" s="443"/>
      <c r="I30" s="443"/>
      <c r="J30" s="443"/>
      <c r="K30" s="443"/>
      <c r="L30" s="443"/>
      <c r="M30" s="443"/>
      <c r="N30" s="443"/>
      <c r="O30" s="443"/>
      <c r="P30" s="443"/>
      <c r="Q30" s="443"/>
      <c r="R30" s="443"/>
      <c r="S30" s="443"/>
      <c r="T30" s="443"/>
      <c r="U30" s="443"/>
      <c r="V30" s="443"/>
      <c r="W30" s="443"/>
      <c r="X30" s="443"/>
      <c r="Y30" s="443"/>
      <c r="Z30" s="443"/>
      <c r="AA30" s="443"/>
      <c r="AB30" s="443"/>
      <c r="AC30" s="443"/>
      <c r="AD30" s="443"/>
      <c r="AE30" s="444"/>
      <c r="AF30" s="463"/>
      <c r="AG30" s="463"/>
      <c r="AH30" s="463"/>
      <c r="AI30" s="463"/>
      <c r="AJ30" s="463"/>
      <c r="AK30" s="463"/>
      <c r="AL30" s="463"/>
      <c r="AM30" s="463"/>
      <c r="AN30" s="464"/>
      <c r="AO30" s="3"/>
      <c r="AP30" s="3"/>
      <c r="AT30" s="55"/>
      <c r="AU30" s="55"/>
      <c r="AV30" s="55"/>
      <c r="AW30" s="55"/>
      <c r="AX30" s="55"/>
      <c r="AY30" s="55"/>
    </row>
    <row r="31" spans="2:51" x14ac:dyDescent="0.3">
      <c r="B31" s="1"/>
      <c r="C31" s="433"/>
      <c r="D31" s="438"/>
      <c r="E31" s="439"/>
      <c r="F31" s="445"/>
      <c r="G31" s="446"/>
      <c r="H31" s="446"/>
      <c r="I31" s="446"/>
      <c r="J31" s="446"/>
      <c r="K31" s="446"/>
      <c r="L31" s="446"/>
      <c r="M31" s="446"/>
      <c r="N31" s="446"/>
      <c r="O31" s="446"/>
      <c r="P31" s="446"/>
      <c r="Q31" s="446"/>
      <c r="R31" s="446"/>
      <c r="S31" s="446"/>
      <c r="T31" s="446"/>
      <c r="U31" s="446"/>
      <c r="V31" s="446"/>
      <c r="W31" s="446"/>
      <c r="X31" s="446"/>
      <c r="Y31" s="446"/>
      <c r="Z31" s="446"/>
      <c r="AA31" s="446"/>
      <c r="AB31" s="446"/>
      <c r="AC31" s="446"/>
      <c r="AD31" s="446"/>
      <c r="AE31" s="447"/>
      <c r="AF31" s="465"/>
      <c r="AG31" s="465"/>
      <c r="AH31" s="465"/>
      <c r="AI31" s="465"/>
      <c r="AJ31" s="465"/>
      <c r="AK31" s="465"/>
      <c r="AL31" s="465"/>
      <c r="AM31" s="465"/>
      <c r="AN31" s="466"/>
      <c r="AO31" s="3"/>
      <c r="AP31" s="3"/>
    </row>
    <row r="32" spans="2:51" x14ac:dyDescent="0.3">
      <c r="B32" s="1"/>
      <c r="C32" s="431"/>
      <c r="D32" s="434" t="s">
        <v>50</v>
      </c>
      <c r="E32" s="435"/>
      <c r="F32" s="415" t="s">
        <v>80</v>
      </c>
      <c r="G32" s="440"/>
      <c r="H32" s="440"/>
      <c r="I32" s="440"/>
      <c r="J32" s="440"/>
      <c r="K32" s="440"/>
      <c r="L32" s="440"/>
      <c r="M32" s="440"/>
      <c r="N32" s="440"/>
      <c r="O32" s="440"/>
      <c r="P32" s="440"/>
      <c r="Q32" s="440"/>
      <c r="R32" s="440"/>
      <c r="S32" s="440"/>
      <c r="T32" s="440"/>
      <c r="U32" s="440"/>
      <c r="V32" s="440"/>
      <c r="W32" s="440"/>
      <c r="X32" s="440"/>
      <c r="Y32" s="440"/>
      <c r="Z32" s="440"/>
      <c r="AA32" s="440"/>
      <c r="AB32" s="440"/>
      <c r="AC32" s="440"/>
      <c r="AD32" s="440"/>
      <c r="AE32" s="441"/>
      <c r="AF32" s="448" t="s">
        <v>49</v>
      </c>
      <c r="AG32" s="449"/>
      <c r="AH32" s="449"/>
      <c r="AI32" s="449"/>
      <c r="AJ32" s="449"/>
      <c r="AK32" s="449"/>
      <c r="AL32" s="449"/>
      <c r="AM32" s="449"/>
      <c r="AN32" s="450"/>
      <c r="AO32" s="65"/>
      <c r="AP32" s="65"/>
    </row>
    <row r="33" spans="2:42" x14ac:dyDescent="0.3">
      <c r="B33" s="1"/>
      <c r="C33" s="432"/>
      <c r="D33" s="436"/>
      <c r="E33" s="437"/>
      <c r="F33" s="442"/>
      <c r="G33" s="443"/>
      <c r="H33" s="443"/>
      <c r="I33" s="443"/>
      <c r="J33" s="443"/>
      <c r="K33" s="443"/>
      <c r="L33" s="443"/>
      <c r="M33" s="443"/>
      <c r="N33" s="443"/>
      <c r="O33" s="443"/>
      <c r="P33" s="443"/>
      <c r="Q33" s="443"/>
      <c r="R33" s="443"/>
      <c r="S33" s="443"/>
      <c r="T33" s="443"/>
      <c r="U33" s="443"/>
      <c r="V33" s="443"/>
      <c r="W33" s="443"/>
      <c r="X33" s="443"/>
      <c r="Y33" s="443"/>
      <c r="Z33" s="443"/>
      <c r="AA33" s="443"/>
      <c r="AB33" s="443"/>
      <c r="AC33" s="443"/>
      <c r="AD33" s="443"/>
      <c r="AE33" s="444"/>
      <c r="AF33" s="451"/>
      <c r="AG33" s="373"/>
      <c r="AH33" s="373"/>
      <c r="AI33" s="373"/>
      <c r="AJ33" s="373"/>
      <c r="AK33" s="373"/>
      <c r="AL33" s="373"/>
      <c r="AM33" s="373"/>
      <c r="AN33" s="452"/>
      <c r="AO33" s="65"/>
      <c r="AP33" s="65"/>
    </row>
    <row r="34" spans="2:42" x14ac:dyDescent="0.3">
      <c r="B34" s="1"/>
      <c r="C34" s="432"/>
      <c r="D34" s="436"/>
      <c r="E34" s="437"/>
      <c r="F34" s="442"/>
      <c r="G34" s="443"/>
      <c r="H34" s="443"/>
      <c r="I34" s="443"/>
      <c r="J34" s="443"/>
      <c r="K34" s="443"/>
      <c r="L34" s="443"/>
      <c r="M34" s="443"/>
      <c r="N34" s="443"/>
      <c r="O34" s="443"/>
      <c r="P34" s="443"/>
      <c r="Q34" s="443"/>
      <c r="R34" s="443"/>
      <c r="S34" s="443"/>
      <c r="T34" s="443"/>
      <c r="U34" s="443"/>
      <c r="V34" s="443"/>
      <c r="W34" s="443"/>
      <c r="X34" s="443"/>
      <c r="Y34" s="443"/>
      <c r="Z34" s="443"/>
      <c r="AA34" s="443"/>
      <c r="AB34" s="443"/>
      <c r="AC34" s="443"/>
      <c r="AD34" s="443"/>
      <c r="AE34" s="444"/>
      <c r="AF34" s="451"/>
      <c r="AG34" s="373"/>
      <c r="AH34" s="373"/>
      <c r="AI34" s="373"/>
      <c r="AJ34" s="373"/>
      <c r="AK34" s="373"/>
      <c r="AL34" s="373"/>
      <c r="AM34" s="373"/>
      <c r="AN34" s="452"/>
      <c r="AO34" s="65"/>
      <c r="AP34" s="65"/>
    </row>
    <row r="35" spans="2:42" x14ac:dyDescent="0.3">
      <c r="B35" s="1"/>
      <c r="C35" s="432"/>
      <c r="D35" s="436"/>
      <c r="E35" s="437"/>
      <c r="F35" s="442"/>
      <c r="G35" s="443"/>
      <c r="H35" s="443"/>
      <c r="I35" s="443"/>
      <c r="J35" s="443"/>
      <c r="K35" s="443"/>
      <c r="L35" s="443"/>
      <c r="M35" s="443"/>
      <c r="N35" s="443"/>
      <c r="O35" s="443"/>
      <c r="P35" s="443"/>
      <c r="Q35" s="443"/>
      <c r="R35" s="443"/>
      <c r="S35" s="443"/>
      <c r="T35" s="443"/>
      <c r="U35" s="443"/>
      <c r="V35" s="443"/>
      <c r="W35" s="443"/>
      <c r="X35" s="443"/>
      <c r="Y35" s="443"/>
      <c r="Z35" s="443"/>
      <c r="AA35" s="443"/>
      <c r="AB35" s="443"/>
      <c r="AC35" s="443"/>
      <c r="AD35" s="443"/>
      <c r="AE35" s="444"/>
      <c r="AF35" s="451"/>
      <c r="AG35" s="373"/>
      <c r="AH35" s="373"/>
      <c r="AI35" s="373"/>
      <c r="AJ35" s="373"/>
      <c r="AK35" s="373"/>
      <c r="AL35" s="373"/>
      <c r="AM35" s="373"/>
      <c r="AN35" s="452"/>
      <c r="AO35" s="65"/>
      <c r="AP35" s="65"/>
    </row>
    <row r="36" spans="2:42" x14ac:dyDescent="0.3">
      <c r="B36" s="1"/>
      <c r="C36" s="432"/>
      <c r="D36" s="436"/>
      <c r="E36" s="437"/>
      <c r="F36" s="442"/>
      <c r="G36" s="443"/>
      <c r="H36" s="443"/>
      <c r="I36" s="443"/>
      <c r="J36" s="443"/>
      <c r="K36" s="443"/>
      <c r="L36" s="443"/>
      <c r="M36" s="443"/>
      <c r="N36" s="443"/>
      <c r="O36" s="443"/>
      <c r="P36" s="443"/>
      <c r="Q36" s="443"/>
      <c r="R36" s="443"/>
      <c r="S36" s="443"/>
      <c r="T36" s="443"/>
      <c r="U36" s="443"/>
      <c r="V36" s="443"/>
      <c r="W36" s="443"/>
      <c r="X36" s="443"/>
      <c r="Y36" s="443"/>
      <c r="Z36" s="443"/>
      <c r="AA36" s="443"/>
      <c r="AB36" s="443"/>
      <c r="AC36" s="443"/>
      <c r="AD36" s="443"/>
      <c r="AE36" s="444"/>
      <c r="AF36" s="451"/>
      <c r="AG36" s="373"/>
      <c r="AH36" s="373"/>
      <c r="AI36" s="373"/>
      <c r="AJ36" s="373"/>
      <c r="AK36" s="373"/>
      <c r="AL36" s="373"/>
      <c r="AM36" s="373"/>
      <c r="AN36" s="452"/>
      <c r="AO36" s="65"/>
      <c r="AP36" s="65"/>
    </row>
    <row r="37" spans="2:42" x14ac:dyDescent="0.3">
      <c r="B37" s="1"/>
      <c r="C37" s="433"/>
      <c r="D37" s="438"/>
      <c r="E37" s="439"/>
      <c r="F37" s="445"/>
      <c r="G37" s="446"/>
      <c r="H37" s="446"/>
      <c r="I37" s="446"/>
      <c r="J37" s="446"/>
      <c r="K37" s="446"/>
      <c r="L37" s="446"/>
      <c r="M37" s="446"/>
      <c r="N37" s="446"/>
      <c r="O37" s="446"/>
      <c r="P37" s="446"/>
      <c r="Q37" s="446"/>
      <c r="R37" s="446"/>
      <c r="S37" s="446"/>
      <c r="T37" s="446"/>
      <c r="U37" s="446"/>
      <c r="V37" s="446"/>
      <c r="W37" s="446"/>
      <c r="X37" s="446"/>
      <c r="Y37" s="446"/>
      <c r="Z37" s="446"/>
      <c r="AA37" s="446"/>
      <c r="AB37" s="446"/>
      <c r="AC37" s="446"/>
      <c r="AD37" s="446"/>
      <c r="AE37" s="447"/>
      <c r="AF37" s="453"/>
      <c r="AG37" s="454"/>
      <c r="AH37" s="454"/>
      <c r="AI37" s="454"/>
      <c r="AJ37" s="454"/>
      <c r="AK37" s="454"/>
      <c r="AL37" s="454"/>
      <c r="AM37" s="454"/>
      <c r="AN37" s="455"/>
      <c r="AO37" s="65"/>
      <c r="AP37" s="65"/>
    </row>
    <row r="38" spans="2:42" x14ac:dyDescent="0.3">
      <c r="B38" s="1"/>
      <c r="C38" s="352"/>
      <c r="D38" s="352" t="s">
        <v>10</v>
      </c>
      <c r="E38" s="352"/>
      <c r="F38" s="415" t="s">
        <v>51</v>
      </c>
      <c r="G38" s="416"/>
      <c r="H38" s="416"/>
      <c r="I38" s="416"/>
      <c r="J38" s="416"/>
      <c r="K38" s="416"/>
      <c r="L38" s="416"/>
      <c r="M38" s="416"/>
      <c r="N38" s="416"/>
      <c r="O38" s="416"/>
      <c r="P38" s="416"/>
      <c r="Q38" s="416"/>
      <c r="R38" s="416"/>
      <c r="S38" s="416"/>
      <c r="T38" s="416"/>
      <c r="U38" s="416"/>
      <c r="V38" s="416"/>
      <c r="W38" s="416"/>
      <c r="X38" s="416"/>
      <c r="Y38" s="416"/>
      <c r="Z38" s="416"/>
      <c r="AA38" s="416"/>
      <c r="AB38" s="416"/>
      <c r="AC38" s="416"/>
      <c r="AD38" s="417"/>
      <c r="AE38" s="418"/>
      <c r="AF38" s="423" t="s">
        <v>49</v>
      </c>
      <c r="AG38" s="424"/>
      <c r="AH38" s="424"/>
      <c r="AI38" s="424"/>
      <c r="AJ38" s="424"/>
      <c r="AK38" s="424"/>
      <c r="AL38" s="424"/>
      <c r="AM38" s="424"/>
      <c r="AN38" s="425"/>
      <c r="AO38" s="4"/>
      <c r="AP38" s="4"/>
    </row>
    <row r="39" spans="2:42" x14ac:dyDescent="0.3">
      <c r="B39" s="1"/>
      <c r="C39" s="403"/>
      <c r="D39" s="403"/>
      <c r="E39" s="403"/>
      <c r="F39" s="419"/>
      <c r="G39" s="420"/>
      <c r="H39" s="420"/>
      <c r="I39" s="420"/>
      <c r="J39" s="420"/>
      <c r="K39" s="420"/>
      <c r="L39" s="420"/>
      <c r="M39" s="420"/>
      <c r="N39" s="420"/>
      <c r="O39" s="420"/>
      <c r="P39" s="420"/>
      <c r="Q39" s="420"/>
      <c r="R39" s="420"/>
      <c r="S39" s="420"/>
      <c r="T39" s="420"/>
      <c r="U39" s="420"/>
      <c r="V39" s="420"/>
      <c r="W39" s="420"/>
      <c r="X39" s="420"/>
      <c r="Y39" s="420"/>
      <c r="Z39" s="420"/>
      <c r="AA39" s="420"/>
      <c r="AB39" s="420"/>
      <c r="AC39" s="420"/>
      <c r="AD39" s="421"/>
      <c r="AE39" s="422"/>
      <c r="AF39" s="426"/>
      <c r="AG39" s="426"/>
      <c r="AH39" s="426"/>
      <c r="AI39" s="426"/>
      <c r="AJ39" s="426"/>
      <c r="AK39" s="426"/>
      <c r="AL39" s="426"/>
      <c r="AM39" s="426"/>
      <c r="AN39" s="427"/>
      <c r="AO39" s="4"/>
      <c r="AP39" s="4"/>
    </row>
    <row r="40" spans="2:42" x14ac:dyDescent="0.3">
      <c r="B40" s="1"/>
      <c r="C40" s="352">
        <v>2</v>
      </c>
      <c r="D40" s="352"/>
      <c r="E40" s="352"/>
      <c r="F40" s="415" t="s">
        <v>81</v>
      </c>
      <c r="G40" s="416"/>
      <c r="H40" s="416"/>
      <c r="I40" s="416"/>
      <c r="J40" s="416"/>
      <c r="K40" s="416"/>
      <c r="L40" s="416"/>
      <c r="M40" s="416"/>
      <c r="N40" s="416"/>
      <c r="O40" s="416"/>
      <c r="P40" s="416"/>
      <c r="Q40" s="416"/>
      <c r="R40" s="416"/>
      <c r="S40" s="416"/>
      <c r="T40" s="416"/>
      <c r="U40" s="416"/>
      <c r="V40" s="416"/>
      <c r="W40" s="416"/>
      <c r="X40" s="416"/>
      <c r="Y40" s="416"/>
      <c r="Z40" s="416"/>
      <c r="AA40" s="416"/>
      <c r="AB40" s="416"/>
      <c r="AC40" s="416"/>
      <c r="AD40" s="417"/>
      <c r="AE40" s="418"/>
      <c r="AF40" s="423" t="s">
        <v>52</v>
      </c>
      <c r="AG40" s="424"/>
      <c r="AH40" s="424"/>
      <c r="AI40" s="424"/>
      <c r="AJ40" s="424"/>
      <c r="AK40" s="424"/>
      <c r="AL40" s="424"/>
      <c r="AM40" s="424"/>
      <c r="AN40" s="425"/>
      <c r="AO40" s="4"/>
      <c r="AP40" s="4"/>
    </row>
    <row r="41" spans="2:42" x14ac:dyDescent="0.3">
      <c r="B41" s="1"/>
      <c r="C41" s="403"/>
      <c r="D41" s="403"/>
      <c r="E41" s="403"/>
      <c r="F41" s="419"/>
      <c r="G41" s="420"/>
      <c r="H41" s="420"/>
      <c r="I41" s="420"/>
      <c r="J41" s="420"/>
      <c r="K41" s="420"/>
      <c r="L41" s="420"/>
      <c r="M41" s="420"/>
      <c r="N41" s="420"/>
      <c r="O41" s="420"/>
      <c r="P41" s="420"/>
      <c r="Q41" s="420"/>
      <c r="R41" s="420"/>
      <c r="S41" s="420"/>
      <c r="T41" s="420"/>
      <c r="U41" s="420"/>
      <c r="V41" s="420"/>
      <c r="W41" s="420"/>
      <c r="X41" s="420"/>
      <c r="Y41" s="420"/>
      <c r="Z41" s="420"/>
      <c r="AA41" s="420"/>
      <c r="AB41" s="420"/>
      <c r="AC41" s="420"/>
      <c r="AD41" s="421"/>
      <c r="AE41" s="422"/>
      <c r="AF41" s="426"/>
      <c r="AG41" s="426"/>
      <c r="AH41" s="426"/>
      <c r="AI41" s="426"/>
      <c r="AJ41" s="426"/>
      <c r="AK41" s="426"/>
      <c r="AL41" s="426"/>
      <c r="AM41" s="426"/>
      <c r="AN41" s="427"/>
      <c r="AO41" s="4"/>
      <c r="AP41" s="4"/>
    </row>
    <row r="42" spans="2:42" x14ac:dyDescent="0.3">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row>
    <row r="43" spans="2:42" x14ac:dyDescent="0.3">
      <c r="B43" s="1"/>
      <c r="C43" s="1"/>
      <c r="D43" s="1"/>
      <c r="E43" s="1"/>
      <c r="F43" s="1"/>
      <c r="G43" s="1"/>
      <c r="H43" s="1"/>
      <c r="I43" s="1"/>
      <c r="J43" s="1"/>
      <c r="K43" s="1"/>
      <c r="L43" s="1"/>
      <c r="M43" s="1"/>
      <c r="N43" s="1"/>
      <c r="O43" s="1"/>
      <c r="P43" s="428" t="s">
        <v>54</v>
      </c>
      <c r="Q43" s="374"/>
      <c r="R43" s="374"/>
      <c r="S43" s="374"/>
      <c r="T43" s="374"/>
      <c r="U43" s="374"/>
      <c r="V43" s="374"/>
      <c r="W43" s="374"/>
      <c r="X43" s="374"/>
      <c r="Y43" s="374"/>
      <c r="Z43" s="374"/>
      <c r="AA43" s="1"/>
      <c r="AB43" s="1"/>
      <c r="AC43" s="1"/>
      <c r="AD43" s="1"/>
      <c r="AE43" s="1"/>
      <c r="AF43" s="1"/>
      <c r="AG43" s="1"/>
      <c r="AH43" s="1"/>
      <c r="AI43" s="1"/>
      <c r="AJ43" s="1"/>
      <c r="AK43" s="1"/>
      <c r="AL43" s="1"/>
      <c r="AM43" s="1"/>
      <c r="AN43" s="1"/>
      <c r="AO43" s="1"/>
      <c r="AP43" s="1"/>
    </row>
    <row r="44" spans="2:42" x14ac:dyDescent="0.3">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row>
    <row r="45" spans="2:42" x14ac:dyDescent="0.3">
      <c r="B45" s="1"/>
      <c r="C45" s="1" t="s">
        <v>55</v>
      </c>
      <c r="D45" s="429" t="str">
        <f>IF(ISBLANK(U11)," ", PROPER(U11))</f>
        <v xml:space="preserve"> </v>
      </c>
      <c r="E45" s="429"/>
      <c r="F45" s="429"/>
      <c r="G45" s="429"/>
      <c r="H45" s="429"/>
      <c r="I45" s="429"/>
      <c r="J45" s="429"/>
      <c r="K45" s="429"/>
      <c r="L45" s="429"/>
      <c r="M45" s="429"/>
      <c r="N45" s="429"/>
      <c r="O45" s="429"/>
      <c r="P45" s="429"/>
      <c r="Q45" s="429"/>
      <c r="R45" s="429"/>
      <c r="S45" s="429"/>
      <c r="T45" s="429"/>
      <c r="U45" s="429"/>
      <c r="V45" s="411" t="s">
        <v>56</v>
      </c>
      <c r="W45" s="411"/>
      <c r="X45" s="411"/>
      <c r="Y45" s="411"/>
      <c r="Z45" s="411"/>
      <c r="AA45" s="411"/>
      <c r="AB45" s="411"/>
      <c r="AC45" s="411"/>
      <c r="AD45" s="411"/>
      <c r="AE45" s="411"/>
      <c r="AF45" s="411"/>
      <c r="AG45" s="411"/>
      <c r="AH45" s="411"/>
      <c r="AI45" s="411"/>
      <c r="AJ45" s="411"/>
      <c r="AK45" s="411"/>
      <c r="AL45" s="411"/>
      <c r="AM45" s="411"/>
      <c r="AN45" s="411"/>
      <c r="AO45" s="8"/>
      <c r="AP45" s="8"/>
    </row>
    <row r="46" spans="2:42" x14ac:dyDescent="0.3">
      <c r="B46" s="1"/>
      <c r="C46" s="411" t="s">
        <v>57</v>
      </c>
      <c r="D46" s="411"/>
      <c r="E46" s="411"/>
      <c r="F46" s="411"/>
      <c r="G46" s="411"/>
      <c r="H46" s="411"/>
      <c r="I46" s="411"/>
      <c r="J46" s="411"/>
      <c r="K46" s="411"/>
      <c r="L46" s="411"/>
      <c r="M46" s="411"/>
      <c r="N46" s="411"/>
      <c r="O46" s="411"/>
      <c r="P46" s="411"/>
      <c r="Q46" s="411"/>
      <c r="R46" s="411"/>
      <c r="S46" s="411"/>
      <c r="T46" s="411"/>
      <c r="U46" s="411"/>
      <c r="V46" s="411"/>
      <c r="W46" s="411"/>
      <c r="X46" s="411"/>
      <c r="Y46" s="411"/>
      <c r="Z46" s="411"/>
      <c r="AA46" s="411"/>
      <c r="AB46" s="411"/>
      <c r="AC46" s="411"/>
      <c r="AD46" s="411"/>
      <c r="AE46" s="1"/>
      <c r="AF46" s="1"/>
      <c r="AG46" s="1"/>
      <c r="AH46" s="1"/>
      <c r="AI46" s="1"/>
      <c r="AJ46" s="1"/>
      <c r="AK46" s="1"/>
      <c r="AL46" s="1"/>
      <c r="AM46" s="1"/>
      <c r="AN46" s="1"/>
      <c r="AO46" s="1"/>
      <c r="AP46" s="1"/>
    </row>
    <row r="47" spans="2:42" x14ac:dyDescent="0.3">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row>
    <row r="48" spans="2:42" x14ac:dyDescent="0.3">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row>
    <row r="49" spans="2:42" x14ac:dyDescent="0.3">
      <c r="B49" s="1"/>
      <c r="C49" s="411" t="s">
        <v>11</v>
      </c>
      <c r="D49" s="411"/>
      <c r="E49" s="411"/>
      <c r="F49" s="411"/>
      <c r="G49" s="1" t="s">
        <v>5</v>
      </c>
      <c r="H49" s="429" t="str">
        <f>IF(ISBLANK('Basic Information'!H34)," ",PROPER('Basic Information'!H34))</f>
        <v xml:space="preserve"> </v>
      </c>
      <c r="I49" s="429"/>
      <c r="J49" s="429"/>
      <c r="K49" s="429"/>
      <c r="L49" s="429"/>
      <c r="M49" s="429"/>
      <c r="N49" s="429"/>
      <c r="O49" s="429"/>
      <c r="P49" s="429"/>
      <c r="Q49" s="430"/>
      <c r="R49" s="430"/>
      <c r="S49" s="430"/>
      <c r="T49" s="430"/>
      <c r="U49" s="430"/>
      <c r="V49" s="1"/>
      <c r="W49" s="1"/>
      <c r="X49" s="1"/>
      <c r="Y49" s="1"/>
      <c r="Z49" s="1"/>
      <c r="AA49" s="1"/>
      <c r="AB49" s="1"/>
      <c r="AC49" s="374"/>
      <c r="AD49" s="374"/>
      <c r="AE49" s="374"/>
      <c r="AF49" s="374"/>
      <c r="AG49" s="374"/>
      <c r="AH49" s="374"/>
      <c r="AI49" s="374"/>
      <c r="AJ49" s="374"/>
      <c r="AK49" s="374"/>
      <c r="AL49" s="374"/>
      <c r="AM49" s="374"/>
      <c r="AN49" s="374"/>
      <c r="AO49" s="62"/>
      <c r="AP49" s="62"/>
    </row>
    <row r="50" spans="2:42" x14ac:dyDescent="0.3">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412"/>
      <c r="AD50" s="412"/>
      <c r="AE50" s="412"/>
      <c r="AF50" s="412"/>
      <c r="AG50" s="412"/>
      <c r="AH50" s="412"/>
      <c r="AI50" s="412"/>
      <c r="AJ50" s="412"/>
      <c r="AK50" s="412"/>
      <c r="AL50" s="412"/>
      <c r="AM50" s="412"/>
      <c r="AN50" s="412"/>
      <c r="AO50" s="62"/>
      <c r="AP50" s="62"/>
    </row>
    <row r="51" spans="2:42" x14ac:dyDescent="0.3">
      <c r="B51" s="1"/>
      <c r="C51" s="411" t="s">
        <v>12</v>
      </c>
      <c r="D51" s="411"/>
      <c r="E51" s="411"/>
      <c r="F51" s="411"/>
      <c r="G51" s="1" t="s">
        <v>5</v>
      </c>
      <c r="H51" s="413" t="str">
        <f>IF(ISBLANK('Basic Information'!H36)," ",'Basic Information'!H36)</f>
        <v xml:space="preserve"> </v>
      </c>
      <c r="I51" s="413"/>
      <c r="J51" s="413"/>
      <c r="K51" s="413"/>
      <c r="L51" s="413"/>
      <c r="M51" s="413"/>
      <c r="N51" s="413"/>
      <c r="O51" s="413"/>
      <c r="P51" s="413"/>
      <c r="Q51" s="1"/>
      <c r="R51" s="1"/>
      <c r="S51" s="1"/>
      <c r="T51" s="1"/>
      <c r="U51" s="1"/>
      <c r="V51" s="1"/>
      <c r="W51" s="1"/>
      <c r="X51" s="1"/>
      <c r="Y51" s="1"/>
      <c r="Z51" s="1"/>
      <c r="AA51" s="1"/>
      <c r="AB51" s="1"/>
      <c r="AC51" s="414" t="s">
        <v>53</v>
      </c>
      <c r="AD51" s="414"/>
      <c r="AE51" s="414"/>
      <c r="AF51" s="414"/>
      <c r="AG51" s="414"/>
      <c r="AH51" s="414"/>
      <c r="AI51" s="414"/>
      <c r="AJ51" s="414"/>
      <c r="AK51" s="414"/>
      <c r="AL51" s="414"/>
      <c r="AM51" s="414"/>
      <c r="AN51" s="414"/>
      <c r="AO51" s="5"/>
      <c r="AP51" s="5"/>
    </row>
    <row r="52" spans="2:42" x14ac:dyDescent="0.3">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row>
    <row r="53" spans="2:42" ht="6.75" customHeight="1" x14ac:dyDescent="0.3">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row>
    <row r="54" spans="2:42" ht="6.75" customHeight="1" x14ac:dyDescent="0.3">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row>
    <row r="55" spans="2:42" ht="9" customHeight="1" x14ac:dyDescent="0.3">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row>
    <row r="56" spans="2:42" ht="0.75" customHeight="1" x14ac:dyDescent="0.3">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row>
    <row r="57" spans="2:42" ht="16.5" customHeight="1" x14ac:dyDescent="0.3">
      <c r="B57" s="1"/>
      <c r="C57" s="1"/>
      <c r="D57" s="1"/>
      <c r="E57" s="1"/>
      <c r="F57" s="1"/>
      <c r="G57" s="1"/>
      <c r="H57" s="1"/>
      <c r="I57" s="1"/>
      <c r="J57" s="1"/>
      <c r="K57" s="1"/>
      <c r="L57" s="1"/>
      <c r="M57" s="1"/>
      <c r="N57" s="1"/>
      <c r="O57" s="1"/>
      <c r="P57" s="1"/>
      <c r="Q57" s="1"/>
      <c r="R57" s="409" t="s">
        <v>58</v>
      </c>
      <c r="S57" s="410"/>
      <c r="T57" s="410"/>
      <c r="U57" s="410"/>
      <c r="V57" s="410"/>
      <c r="W57" s="410"/>
      <c r="X57" s="410"/>
      <c r="Y57" s="66"/>
      <c r="Z57" s="1"/>
      <c r="AA57" s="1"/>
      <c r="AB57" s="1"/>
      <c r="AC57" s="1"/>
      <c r="AD57" s="1"/>
      <c r="AE57" s="1"/>
      <c r="AF57" s="1"/>
      <c r="AG57" s="1"/>
      <c r="AH57" s="1"/>
      <c r="AI57" s="1"/>
      <c r="AJ57" s="1"/>
      <c r="AK57" s="1"/>
      <c r="AL57" s="1"/>
      <c r="AM57" s="1"/>
      <c r="AN57" s="1"/>
      <c r="AO57" s="1"/>
      <c r="AP57" s="1"/>
    </row>
    <row r="58" spans="2:42" x14ac:dyDescent="0.3">
      <c r="B58" s="1"/>
      <c r="C58" s="1"/>
      <c r="D58" s="1"/>
      <c r="E58" s="1"/>
      <c r="F58" s="1"/>
      <c r="G58" s="1"/>
      <c r="H58" s="1"/>
      <c r="I58" s="1"/>
      <c r="J58" s="1"/>
      <c r="K58" s="1"/>
      <c r="L58" s="1"/>
      <c r="M58" s="1"/>
      <c r="N58" s="1"/>
      <c r="O58" s="374" t="s">
        <v>59</v>
      </c>
      <c r="P58" s="374"/>
      <c r="Q58" s="374"/>
      <c r="R58" s="374"/>
      <c r="S58" s="374"/>
      <c r="T58" s="374"/>
      <c r="U58" s="374"/>
      <c r="V58" s="374"/>
      <c r="W58" s="374"/>
      <c r="X58" s="374"/>
      <c r="Y58" s="374"/>
      <c r="Z58" s="374"/>
      <c r="AA58" s="374"/>
      <c r="AB58" s="1"/>
      <c r="AC58" s="1"/>
      <c r="AD58" s="1"/>
      <c r="AE58" s="1"/>
      <c r="AF58" s="1"/>
      <c r="AG58" s="1"/>
      <c r="AH58" s="1"/>
      <c r="AI58" s="1"/>
      <c r="AJ58" s="1"/>
      <c r="AK58" s="1"/>
      <c r="AL58" s="1"/>
      <c r="AM58" s="1"/>
      <c r="AN58" s="1"/>
      <c r="AO58" s="1"/>
      <c r="AP58" s="1"/>
    </row>
    <row r="59" spans="2:42" ht="3.75" customHeight="1" x14ac:dyDescent="0.3">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row>
    <row r="60" spans="2:42" x14ac:dyDescent="0.3">
      <c r="B60" s="1"/>
      <c r="C60" s="1"/>
      <c r="D60" s="1"/>
      <c r="E60" s="1"/>
      <c r="F60" s="1"/>
      <c r="G60" s="1"/>
      <c r="H60" s="1"/>
      <c r="I60" s="1"/>
      <c r="J60" s="1"/>
      <c r="K60" s="1"/>
      <c r="L60" s="1"/>
      <c r="M60" s="373" t="s">
        <v>60</v>
      </c>
      <c r="N60" s="134"/>
      <c r="O60" s="134"/>
      <c r="P60" s="134"/>
      <c r="Q60" s="134"/>
      <c r="R60" s="134"/>
      <c r="S60" s="134"/>
      <c r="T60" s="134"/>
      <c r="U60" s="134"/>
      <c r="V60" s="134"/>
      <c r="W60" s="134"/>
      <c r="X60" s="134"/>
      <c r="Y60" s="134"/>
      <c r="Z60" s="134"/>
      <c r="AA60" s="134"/>
      <c r="AB60" s="134"/>
      <c r="AC60" s="134"/>
      <c r="AD60" s="1"/>
      <c r="AE60" s="1"/>
      <c r="AF60" s="1"/>
      <c r="AG60" s="1"/>
      <c r="AH60" s="1"/>
      <c r="AI60" s="1"/>
      <c r="AJ60" s="1"/>
      <c r="AK60" s="1"/>
      <c r="AL60" s="1"/>
      <c r="AM60" s="1"/>
      <c r="AN60" s="1"/>
      <c r="AO60" s="1"/>
      <c r="AP60" s="1"/>
    </row>
    <row r="61" spans="2:42" ht="6" customHeight="1" x14ac:dyDescent="0.3">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row>
    <row r="62" spans="2:42" ht="13.5" customHeight="1" x14ac:dyDescent="0.3">
      <c r="B62" s="1"/>
      <c r="C62" s="352">
        <v>1</v>
      </c>
      <c r="D62" s="404" t="s">
        <v>61</v>
      </c>
      <c r="E62" s="405"/>
      <c r="F62" s="405"/>
      <c r="G62" s="405"/>
      <c r="H62" s="405"/>
      <c r="I62" s="405"/>
      <c r="J62" s="405"/>
      <c r="K62" s="405"/>
      <c r="L62" s="405"/>
      <c r="M62" s="405"/>
      <c r="N62" s="405"/>
      <c r="O62" s="405"/>
      <c r="P62" s="405"/>
      <c r="Q62" s="405"/>
      <c r="R62" s="405"/>
      <c r="S62" s="405"/>
      <c r="T62" s="405"/>
      <c r="U62" s="405"/>
      <c r="V62" s="405"/>
      <c r="W62" s="405"/>
      <c r="X62" s="405"/>
      <c r="Y62" s="405"/>
      <c r="Z62" s="405"/>
      <c r="AA62" s="405"/>
      <c r="AB62" s="405"/>
      <c r="AC62" s="263"/>
      <c r="AD62" s="263"/>
      <c r="AE62" s="264"/>
      <c r="AF62" s="364">
        <f>IF(AND(AF27&lt;&gt;0,AF27&lt;=AP27,'Income Tax Proforma - New Schem'!AV68&lt;&gt;0),(('Income Tax Proforma - New Schem'!AV68) -AF64),0)</f>
        <v>0</v>
      </c>
      <c r="AG62" s="365"/>
      <c r="AH62" s="365"/>
      <c r="AI62" s="365"/>
      <c r="AJ62" s="365"/>
      <c r="AK62" s="365"/>
      <c r="AL62" s="365"/>
      <c r="AM62" s="365"/>
      <c r="AN62" s="366"/>
      <c r="AO62" s="1"/>
      <c r="AP62" s="1"/>
    </row>
    <row r="63" spans="2:42" ht="12" customHeight="1" x14ac:dyDescent="0.3">
      <c r="B63" s="1"/>
      <c r="C63" s="403"/>
      <c r="D63" s="406"/>
      <c r="E63" s="407"/>
      <c r="F63" s="407"/>
      <c r="G63" s="407"/>
      <c r="H63" s="407"/>
      <c r="I63" s="407"/>
      <c r="J63" s="407"/>
      <c r="K63" s="407"/>
      <c r="L63" s="407"/>
      <c r="M63" s="407"/>
      <c r="N63" s="407"/>
      <c r="O63" s="407"/>
      <c r="P63" s="407"/>
      <c r="Q63" s="407"/>
      <c r="R63" s="407"/>
      <c r="S63" s="407"/>
      <c r="T63" s="407"/>
      <c r="U63" s="407"/>
      <c r="V63" s="407"/>
      <c r="W63" s="407"/>
      <c r="X63" s="407"/>
      <c r="Y63" s="407"/>
      <c r="Z63" s="407"/>
      <c r="AA63" s="407"/>
      <c r="AB63" s="407"/>
      <c r="AC63" s="407"/>
      <c r="AD63" s="407"/>
      <c r="AE63" s="408"/>
      <c r="AF63" s="370"/>
      <c r="AG63" s="371"/>
      <c r="AH63" s="371"/>
      <c r="AI63" s="371"/>
      <c r="AJ63" s="371"/>
      <c r="AK63" s="371"/>
      <c r="AL63" s="371"/>
      <c r="AM63" s="371"/>
      <c r="AN63" s="372"/>
      <c r="AO63" s="1"/>
      <c r="AP63" s="1"/>
    </row>
    <row r="64" spans="2:42" ht="10.5" customHeight="1" x14ac:dyDescent="0.3">
      <c r="B64" s="1"/>
      <c r="C64" s="352">
        <v>2</v>
      </c>
      <c r="D64" s="404" t="s">
        <v>62</v>
      </c>
      <c r="E64" s="405"/>
      <c r="F64" s="405"/>
      <c r="G64" s="405"/>
      <c r="H64" s="405"/>
      <c r="I64" s="405"/>
      <c r="J64" s="405"/>
      <c r="K64" s="405"/>
      <c r="L64" s="405"/>
      <c r="M64" s="405"/>
      <c r="N64" s="405"/>
      <c r="O64" s="405"/>
      <c r="P64" s="405"/>
      <c r="Q64" s="405"/>
      <c r="R64" s="405"/>
      <c r="S64" s="405"/>
      <c r="T64" s="405"/>
      <c r="U64" s="405"/>
      <c r="V64" s="405"/>
      <c r="W64" s="405"/>
      <c r="X64" s="405"/>
      <c r="Y64" s="405"/>
      <c r="Z64" s="405"/>
      <c r="AA64" s="405"/>
      <c r="AB64" s="405"/>
      <c r="AC64" s="263"/>
      <c r="AD64" s="263"/>
      <c r="AE64" s="264"/>
      <c r="AF64" s="364">
        <f>IF(AND(AF27&lt;=AP27,'Income Tax Proforma - New Schem'!AV68&lt;&gt;0),AF27,0)</f>
        <v>0</v>
      </c>
      <c r="AG64" s="365"/>
      <c r="AH64" s="365"/>
      <c r="AI64" s="365"/>
      <c r="AJ64" s="365"/>
      <c r="AK64" s="365"/>
      <c r="AL64" s="365"/>
      <c r="AM64" s="365"/>
      <c r="AN64" s="366"/>
      <c r="AO64" s="1"/>
      <c r="AP64" s="1"/>
    </row>
    <row r="65" spans="2:49" ht="12.75" customHeight="1" x14ac:dyDescent="0.3">
      <c r="B65" s="1"/>
      <c r="C65" s="403"/>
      <c r="D65" s="406"/>
      <c r="E65" s="407"/>
      <c r="F65" s="407"/>
      <c r="G65" s="407"/>
      <c r="H65" s="407"/>
      <c r="I65" s="407"/>
      <c r="J65" s="407"/>
      <c r="K65" s="407"/>
      <c r="L65" s="407"/>
      <c r="M65" s="407"/>
      <c r="N65" s="407"/>
      <c r="O65" s="407"/>
      <c r="P65" s="407"/>
      <c r="Q65" s="407"/>
      <c r="R65" s="407"/>
      <c r="S65" s="407"/>
      <c r="T65" s="407"/>
      <c r="U65" s="407"/>
      <c r="V65" s="407"/>
      <c r="W65" s="407"/>
      <c r="X65" s="407"/>
      <c r="Y65" s="407"/>
      <c r="Z65" s="407"/>
      <c r="AA65" s="407"/>
      <c r="AB65" s="407"/>
      <c r="AC65" s="407"/>
      <c r="AD65" s="407"/>
      <c r="AE65" s="408"/>
      <c r="AF65" s="370"/>
      <c r="AG65" s="371"/>
      <c r="AH65" s="371"/>
      <c r="AI65" s="371"/>
      <c r="AJ65" s="371"/>
      <c r="AK65" s="371"/>
      <c r="AL65" s="371"/>
      <c r="AM65" s="371"/>
      <c r="AN65" s="372"/>
      <c r="AO65" s="1"/>
      <c r="AP65" s="1"/>
    </row>
    <row r="66" spans="2:49" ht="15.75" customHeight="1" x14ac:dyDescent="0.3">
      <c r="B66" s="1"/>
      <c r="C66" s="352">
        <v>3</v>
      </c>
      <c r="D66" s="355" t="s">
        <v>63</v>
      </c>
      <c r="E66" s="356"/>
      <c r="F66" s="356"/>
      <c r="G66" s="356"/>
      <c r="H66" s="356"/>
      <c r="I66" s="356"/>
      <c r="J66" s="356"/>
      <c r="K66" s="356"/>
      <c r="L66" s="356"/>
      <c r="M66" s="356"/>
      <c r="N66" s="356"/>
      <c r="O66" s="356"/>
      <c r="P66" s="356"/>
      <c r="Q66" s="356"/>
      <c r="R66" s="356"/>
      <c r="S66" s="356"/>
      <c r="T66" s="356"/>
      <c r="U66" s="356"/>
      <c r="V66" s="356"/>
      <c r="W66" s="356"/>
      <c r="X66" s="356"/>
      <c r="Y66" s="356"/>
      <c r="Z66" s="356"/>
      <c r="AA66" s="356"/>
      <c r="AB66" s="356"/>
      <c r="AC66" s="357"/>
      <c r="AD66" s="357"/>
      <c r="AE66" s="358"/>
      <c r="AF66" s="364">
        <f>SUM(AF62,AF64)</f>
        <v>0</v>
      </c>
      <c r="AG66" s="365"/>
      <c r="AH66" s="365"/>
      <c r="AI66" s="365"/>
      <c r="AJ66" s="365"/>
      <c r="AK66" s="365"/>
      <c r="AL66" s="365"/>
      <c r="AM66" s="365"/>
      <c r="AN66" s="366"/>
      <c r="AO66" s="1"/>
      <c r="AP66" s="1"/>
    </row>
    <row r="67" spans="2:49" x14ac:dyDescent="0.3">
      <c r="B67" s="1"/>
      <c r="C67" s="353"/>
      <c r="D67" s="359"/>
      <c r="E67" s="132"/>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32"/>
      <c r="AD67" s="132"/>
      <c r="AE67" s="360"/>
      <c r="AF67" s="367"/>
      <c r="AG67" s="368"/>
      <c r="AH67" s="368"/>
      <c r="AI67" s="368"/>
      <c r="AJ67" s="368"/>
      <c r="AK67" s="368"/>
      <c r="AL67" s="368"/>
      <c r="AM67" s="368"/>
      <c r="AN67" s="369"/>
      <c r="AO67" s="1"/>
      <c r="AP67" s="1"/>
    </row>
    <row r="68" spans="2:49" ht="12" customHeight="1" x14ac:dyDescent="0.3">
      <c r="B68" s="1"/>
      <c r="C68" s="354"/>
      <c r="D68" s="361"/>
      <c r="E68" s="362"/>
      <c r="F68" s="362"/>
      <c r="G68" s="362"/>
      <c r="H68" s="362"/>
      <c r="I68" s="362"/>
      <c r="J68" s="362"/>
      <c r="K68" s="362"/>
      <c r="L68" s="362"/>
      <c r="M68" s="362"/>
      <c r="N68" s="362"/>
      <c r="O68" s="362"/>
      <c r="P68" s="362"/>
      <c r="Q68" s="362"/>
      <c r="R68" s="362"/>
      <c r="S68" s="362"/>
      <c r="T68" s="362"/>
      <c r="U68" s="362"/>
      <c r="V68" s="362"/>
      <c r="W68" s="362"/>
      <c r="X68" s="362"/>
      <c r="Y68" s="362"/>
      <c r="Z68" s="362"/>
      <c r="AA68" s="362"/>
      <c r="AB68" s="362"/>
      <c r="AC68" s="362"/>
      <c r="AD68" s="362"/>
      <c r="AE68" s="363"/>
      <c r="AF68" s="370"/>
      <c r="AG68" s="371"/>
      <c r="AH68" s="371"/>
      <c r="AI68" s="371"/>
      <c r="AJ68" s="371"/>
      <c r="AK68" s="371"/>
      <c r="AL68" s="371"/>
      <c r="AM68" s="371"/>
      <c r="AN68" s="372"/>
      <c r="AO68" s="1"/>
      <c r="AP68" s="1"/>
    </row>
    <row r="69" spans="2:49" ht="11.25" customHeight="1" x14ac:dyDescent="0.3">
      <c r="B69" s="1"/>
      <c r="C69" s="352">
        <v>4</v>
      </c>
      <c r="D69" s="404" t="s">
        <v>64</v>
      </c>
      <c r="E69" s="405"/>
      <c r="F69" s="405"/>
      <c r="G69" s="405"/>
      <c r="H69" s="405"/>
      <c r="I69" s="405"/>
      <c r="J69" s="405"/>
      <c r="K69" s="405"/>
      <c r="L69" s="405"/>
      <c r="M69" s="405"/>
      <c r="N69" s="405"/>
      <c r="O69" s="405"/>
      <c r="P69" s="405"/>
      <c r="Q69" s="405"/>
      <c r="R69" s="405"/>
      <c r="S69" s="405"/>
      <c r="T69" s="405"/>
      <c r="U69" s="405"/>
      <c r="V69" s="405"/>
      <c r="W69" s="405"/>
      <c r="X69" s="405"/>
      <c r="Y69" s="405"/>
      <c r="Z69" s="405"/>
      <c r="AA69" s="405"/>
      <c r="AB69" s="405"/>
      <c r="AC69" s="263"/>
      <c r="AD69" s="263"/>
      <c r="AE69" s="264"/>
      <c r="AF69" s="364">
        <f>SUM(AQ70,AR70)</f>
        <v>0</v>
      </c>
      <c r="AG69" s="365"/>
      <c r="AH69" s="365"/>
      <c r="AI69" s="365"/>
      <c r="AJ69" s="365"/>
      <c r="AK69" s="365"/>
      <c r="AL69" s="365"/>
      <c r="AM69" s="365"/>
      <c r="AN69" s="366"/>
      <c r="AO69" s="1"/>
      <c r="AP69" s="1"/>
      <c r="AQ69" s="6">
        <f>IF( AND(OR(AE25="2006-2007",AE25="2007-2008"),U22&lt;&gt;"Female"),IF( MROUND(AF66,10)&lt;= 100000, 0, IF(AND(MROUND(AF66,10)&gt; 100000,MROUND(AF66,10)&lt;= 150000),  ROUND(ABS(MROUND(AF66,10)- 100000)*0.1,0), IF(AND(MROUND(AF66,10)&gt; 150000, MROUND(AF66,10)&lt;= 250000), ROUND(5000+ ABS(MROUND(AF66,10)- 150000)*0.2,0),IF(MROUND(AF66,10)&gt; 250000,  ROUND(25000+ABS(MROUND(AF66,10)- 250000)*0.3,0),  0)))),IF(AND(OR(AE25="2006-2007",AE25="2007-2008"),U22="Female"),IF(MROUND(AF66,10)&lt;= 135000, 0, IF(AND(MROUND(AF66,10)&gt; 135000, MROUND(AF66,10)&lt;= 150000), ROUND(ABS(MROUND(AF66,10)- 135000)*0.1,0), IF(AND(MROUND(AF66,10)&gt; 150000, MROUND(AF66,10)&lt;= 250000), ROUND(1500+ ABS(MROUND(AF66,10)- 150000)*0.2,0),  IF(MROUND(AF66,10)&gt; 250000, ROUND(21500+ABS(MROUND(AF66,10)- 250000)*0.3,0),0)))),IF(AND(AE25="2008-2009",U22&lt;&gt;"Female"), IF(MROUND(AF66,10)&lt;= 110000,  0,  IF(AND(MROUND(AF66,10)&gt; 110000, MROUND(AF66,10)&lt;= 150000),     ROUND(ABS(MROUND(AF66,10)- 110000)*0.1,0),  IF(AND(MROUND(AF66,10)&gt; 150000, MROUND(AF66,10)&lt;= 250000),  ROUND(4000+ ABS(MROUND(AF66,10)- 150000)*0.2,0),   IF(MROUND(AF66,10)&gt; 250000,   ROUND(24000+ABS(MROUND(AF66,10)- 250000)*0.3,0),0)))),IF(AND(AE25="2008-2009",U22="Female"), IF(MROUND(AF66,10)&lt;= 145000, 0, IF(AND(MROUND(AF66,10)&gt; 145000, MROUND(AF66,10)&lt;= 150000),     ROUND(ABS(MROUND(AF66,10)- 145000)*0.1,0),  IF(AND(MROUND(AF66,10)&gt; 150000, MROUND(AF66,10)&lt;= 250000),  ROUND(500+ ABS(MROUND(AF66,10)- 150000)*0.2,0),  IF(MROUND(AF66,10)&gt; 250000, ROUND(20500+ABS(MROUND(AF66,10)- 250000)*0.3,0),0)))), IF(AND(AE25="2009-2010",U22&lt;&gt;"Female"), IF(MROUND(AF66,10)&lt;= 150000, 0, IF(AND(MROUND(AF66,10)&gt; 150000, MROUND(AF66,10)&lt;= 300000), ROUND(ABS(MROUND(AF66,10)- 150000)*0.1,0), IF(AND(MROUND(AF66,10)&gt; 300000, MROUND(AF66,10)&lt;= 500000),  ROUND(15000+ ABS(MROUND(AF66,10)- 300000)*0.2,0),  IF(MROUND(AF66,10)&gt; 500000,  ROUND(55000+ABS(MROUND(AF66,10)- 500000)*0.3,0),0)))), IF(AND(AE25="2009-2010",U22="Female"), IF(MROUND(AF66,10)&lt;= 180000, 0, IF(AND(MROUND(AF66,10)&gt; 180000, MROUND(AF66,10)&lt;= 300000), ROUND(ABS(MROUND(AF66,10)- 180000)*0.1,0), IF(AND(MROUND(AF66,10)&gt; 300000, MROUND(AF66,10)&lt;= 500000), ROUND(12000+ ABS(MROUND(AF66,10)- 300000)*0.2,0),  IF(MROUND(AF66,10)&gt; 500000,  ROUND(52000+ABS(MROUND(AF66,10)- 500000)*0.3,0),0)))), IF(AND(AE25="2010-2011", U22&lt;&gt;"Female"), IF(MROUND(AF66,10)&lt;= 160000, 0, IF(AND(MROUND(AF66,10)&gt; 160000, MROUND(AF66,10)&lt;= 300000),ROUND(ABS(MROUND(AF66,10)- 160000)*0.1,0), IF(AND(MROUND(AF66,10)&gt; 300000, MROUND(AF66,10)&lt;= 500000),ROUND(14000+ ABS(MROUND(AF66,10)- 300000)*0.2,0),  IF(MROUND(AF66,10)&gt; 500000, ROUND(54000+ABS(MROUND(AF66,10)- 500000)*0.3,0),0)))),IF(AND(AE25="2010-2011",U22="Female"), IF(MROUND(AF66,10)&lt;= 190000, 0, IF(AND(MROUND(AF66,10)&gt; 190000, MROUND(AF66,10)&lt;= 300000),ROUND(ABS(MROUND(AF66,10)- 190000)*0.1,0), IF(AND(MROUND(AF66,10)&gt; 300000, MROUND(AF66,10)&lt;= 500000), ROUND(11000+ ABS(MROUND(AF66,10)- 300000)*0.2,0),IF(MROUND(AF66,10)&gt; 500000,  ROUND(51000+ABS(MROUND(AF66,10)- 500000)*0.3,0),0)))), IF(AND(AE25="2011-2012",U22&lt;&gt;"Female"), IF(MROUND(AF66,10)&lt;= 160000, 0, IF(AND(MROUND(AF66,10)&gt; 160000, MROUND(AF66,10)&lt;= 500000), ROUND(ABS(MROUND(AF66,10)- 160000)*0.1,0), IF(AND(MROUND(AF66,10)&gt; 500000, MROUND(AF66,10)&lt;= 800000), ROUND(34000+ ABS(MROUND(AF66,10)- 500000)*0.2,0),  IF(MROUND(AF66,10)&gt; 800000,  ROUND(94000+ABS(MROUND(AF66,10)- 800000)*0.3,0),0)))), IF(AND(OR(AE25="2011-2012",AE25="2012-2013"),U22="Female"), IF(MROUND(AF66,10)&lt;= 190000, 0, IF(AND(MROUND(AF66,10)&gt; 190000, MROUND(AF66,10)&lt;= 500000), ROUND(ABS(MROUND(AF66,10)- 190000)*0.1,0), IF(AND(MROUND(AF66,10)&gt; 500000, MROUND(AF66,10)&lt;= 800000),  ROUND(31000+ ABS(MROUND(AF66,10)- 500000)*0.2,0),  IF(MROUND(AF66,10)&gt; 800000,  ROUND(91000+ABS(MROUND(AF66,10)- 800000)*0.3,0),0)))), IF(AND(AE25="2012-2013", U22&lt;&gt;"Female"), IF(MROUND(AF66,10)&lt;= 180000, 0, IF(AND(MROUND(AF66,10)&gt; 180000, MROUND(AF66,10)&lt;= 500000), ROUND(ABS(MROUND(AF66,10)- 180000)*0.1,0), IF(AND(MROUND(AF66,10)&gt; 500000, MROUND(AF66,10)&lt;= 800000),  ROUND(32000+ ABS(MROUND(AF66,10)- 500000)*0.2,0),  IF(MROUND(AF66,10)&gt; 800000,  ROUND(92000+ABS(MROUND(AF66,10)- 800000)*0.3,0),0)))), IF(OR(AE25="2013-2014",AE25="2014-2015"), IF(MROUND(AF66,10)&lt;= 200000, 0, IF(AND(MROUND(AF66,10)&gt; 200000, MROUND(AF66,10)&lt;= 500000), ROUND(ABS(MROUND(AF66,10)- 200000)*0.1,0), IF(AND(MROUND(AF66,10)&gt; 500000, MROUND(AF66,10)&lt;= 1000000),  ROUND(30000+ ABS(MROUND(AF66,10)- 500000)*0.2,0),  IF(MROUND(AF66,10)&gt; 1000000,  ROUND(130000+ABS(MROUND(AF66,10)- 1000000)*0.3,0),0)))), IF(OR(AE25="2015-2016", AE25="2016-2017",AE25="2017-2018"), IF(MROUND(AF66,10)&lt;= 250000, 0, IF(AND(MROUND(AF66,10)&gt; 250000, MROUND(AF66,10)&lt;= 500000), ROUND(ABS(MROUND(AF66,10)- 250000)*0.1,0), IF(AND(MROUND(AF66,10)&gt; 500000, MROUND(AF66,10)&lt;= 1000000),  ROUND(25000+ ABS(MROUND(AF66,10)- 500000)*0.2,0),  IF(MROUND(AF66,10)&gt; 1000000,  ROUND(125000+ABS(MROUND(AF66,10)- 1000000)*0.3,0), 0)))), IF(OR(AE25="2018-2019", AE25="2019-2020",AE25="2020-2021",AE25="2021-2022"), IF(MROUND(AF66,10)&lt;= 250000, 0, IF(AND(MROUND(AF66,10)&gt; 250000, MROUND(AF66,10)&lt;= 500000), ROUND(ABS(MROUND(AF66,10)- 250000)*0.05,0), IF(AND(MROUND(AF66,10)&gt; 500000, MROUND(AF66,10)&lt;= 1000000),  ROUND(12500+ ABS(MROUND(AF66,10)- 500000)*0.2,0),  IF(MROUND(AF66,10)&gt; 1000000,  ROUND(112500+ABS(MROUND(AF66,10)- 1000000)*0.3,0), 0)))),IF(OR(AE25="2022-2023",AE25="2023-2024"), IF(MROUND(AF66,10)&lt;= 250000, 0, IF(AND(MROUND(AF66,10)&gt; 250000, MROUND(AF66,10)&lt;= 500000), ROUND(ABS(MROUND(AF66,10)- 250000)*0.05,0), IF(AND(MROUND(AF66,10)&gt; 500000, MROUND(AF66,10)&lt;= 750000),  ROUND(12500+ ABS(MROUND(AF66,10)- 500000)*0.1,0), IF(AND(MROUND(AF66,10)&gt; 750000, MROUND(AF66,10)&lt;= 1000000),  ROUND(37500+ ABS(MROUND(AF66,10)- 750000)*0.15,0),IF(AND(MROUND(AF66,10)&gt; 1000000, MROUND(AF66,10)&lt;= 1250000),  ROUND(75000+ ABS(MROUND(AF66,10)- 1000000)*0.2,0),IF(AND(MROUND(AF66,10)&gt; 1250000, MROUND(AF66,10)&lt;= 1500000),  ROUND(125000+ ABS(MROUND(AF66,10)- 1250000)*0.25,0), IF(MROUND(AF66,10)&gt; 1500000,  ROUND(187500+ABS(MROUND(AF66,10)- 1500000)*0.3,0), 0))))))),IF(OR(AE25="2024-2025"), IF(MROUND(AF66,10)&lt;= 300000, 0, IF(AND(MROUND(AF66,10)&gt; 300000, MROUND(AF66,10)&lt;= 600000), ROUND(ABS(MROUND(AF66,10)- 300000)*0.05,0), IF(AND(MROUND(AF66,10)&gt; 600000, MROUND(AF66,10)&lt;= 900000),  ROUND(15000+ ABS(MROUND(AF66,10)- 600000)*0.1,0), IF(AND(MROUND(AF66,10)&gt; 900000, MROUND(AF66,10)&lt;= 1200000),  ROUND(45000+ ABS(MROUND(AF66,10)- 900000)*0.15,0),IF(AND(MROUND(AF66,10)&gt; 1200000, MROUND(AF66,10)&lt;= 1500000),  ROUND(90000+ ABS(MROUND(AF66,10)- 1200000)*0.2,0),IF(MROUND(AF66,10)&gt; 1500000,  ROUND(150000+ ABS(MROUND(AF66,10)- 1500000)*0.3,0), 0)))))),IF(OR(AE25="2025-2026"), IF(MROUND(AF66,10)&lt;= 300000, 0, IF(AND(MROUND(AF66,10)&gt; 300000, MROUND(AF66,10)&lt;= 700000), ROUND(ABS(MROUND(AF66,10)- 300000)*0.05,0), IF(AND(MROUND(AF66,10)&gt; 700000, MROUND(AF66,10)&lt;= 1000000),  ROUND(20000+ ABS(MROUND(AF66,10)- 700000)*0.1,0), IF(AND(MROUND(AF66,10)&gt; 1000000, MROUND(AF66,10)&lt;= 1200000),  ROUND(50000+ ABS(MROUND(AF66,10)- 1000000)*0.15,0),IF(AND(MROUND(AF66,10)&gt; 1200000, MROUND(AF66,10)&lt;= 1500000),  ROUND(80000+ ABS(MROUND(AF66,10)- 1200000)*0.2,0),IF(MROUND(AF66,10)&gt; 1500000,  ROUND(140000+ ABS(MROUND(AF66,10)- 1500000)*0.3,0), 0)))))),0)))))))))))))))))</f>
        <v>0</v>
      </c>
      <c r="AR69" s="6">
        <f>IF(AF66&gt;0,IF(OR(AE25="2014-2015",AE25="2015-2016",AE25="2016-2017"),IF(AND(MROUND(AF66,10)&lt;=500000,MROUND(AF66,10)&lt;&gt;0),IF(AQ69&lt;=2000, AQ69,2000),0), IF(AE25="2017-2018",IF(AND(MROUND(AF66,10)&lt;=500000,MROUND(AF66,10)&lt;&gt;0),IF(AQ69&lt;=5000, AQ69,5000),0),IF(OR(AE25="2018-2019",AE25="2019-2020"),IF(AND(MROUND(AF66,10)&lt;=350000,MROUND(AF66,10)&lt;&gt;0),IF(AQ69&lt;=2500, AQ69,2500),0),IF(OR(AE25="2020-2021",AE25="2021-2022",AE25="2022-2023",AE25="2023-2024"),IF(AND(MROUND(AF66,10)&lt;=500000,MROUND(AF66,10)&lt;&gt;0),IF(AQ69&lt;=12500, AQ69,12500),0),IF(OR(AE25="2024-2025",AE25="2025-2026"),IF(AND(MROUND(AF66,10)&lt;=700000,MROUND(AF66,10)&lt;&gt;0),IF(AQ69&lt;=20000, AQ69,20000),IF((AF66-700000)&lt;=AQ69,AQ69-(AF66-700000),0)),0))))),0)</f>
        <v>0</v>
      </c>
      <c r="AU69" s="7"/>
    </row>
    <row r="70" spans="2:49" ht="12.75" customHeight="1" x14ac:dyDescent="0.3">
      <c r="B70" s="1"/>
      <c r="C70" s="403"/>
      <c r="D70" s="406"/>
      <c r="E70" s="407"/>
      <c r="F70" s="407"/>
      <c r="G70" s="407"/>
      <c r="H70" s="407"/>
      <c r="I70" s="407"/>
      <c r="J70" s="407"/>
      <c r="K70" s="407"/>
      <c r="L70" s="407"/>
      <c r="M70" s="407"/>
      <c r="N70" s="407"/>
      <c r="O70" s="407"/>
      <c r="P70" s="407"/>
      <c r="Q70" s="407"/>
      <c r="R70" s="407"/>
      <c r="S70" s="407"/>
      <c r="T70" s="407"/>
      <c r="U70" s="407"/>
      <c r="V70" s="407"/>
      <c r="W70" s="407"/>
      <c r="X70" s="407"/>
      <c r="Y70" s="407"/>
      <c r="Z70" s="407"/>
      <c r="AA70" s="407"/>
      <c r="AB70" s="407"/>
      <c r="AC70" s="407"/>
      <c r="AD70" s="407"/>
      <c r="AE70" s="408"/>
      <c r="AF70" s="370"/>
      <c r="AG70" s="371"/>
      <c r="AH70" s="371"/>
      <c r="AI70" s="371"/>
      <c r="AJ70" s="371"/>
      <c r="AK70" s="371"/>
      <c r="AL70" s="371"/>
      <c r="AM70" s="371"/>
      <c r="AN70" s="372"/>
      <c r="AO70" s="1"/>
      <c r="AP70" s="1"/>
      <c r="AQ70" s="6">
        <f>IF((AQ69&lt;AR69),0,ROUND(ABS(AQ69-AR69),0))</f>
        <v>0</v>
      </c>
      <c r="AR70" s="6">
        <f>IF(OR(AE25="2006-2007",AE25="2007-2008"),ROUND(AQ70*0.02,0),IF(OR(AE25="2019-2020",AE25="2020-2021",AE25="2021-2022",AE25="2022-2023",AE25="2023-2024",AE25="2024-2025",AE25="2025-2026"),ROUND(AQ70*0.04,0),ROUND(AQ70*0.03,0)))</f>
        <v>0</v>
      </c>
    </row>
    <row r="71" spans="2:49" ht="10.5" customHeight="1" x14ac:dyDescent="0.3">
      <c r="B71" s="1"/>
      <c r="C71" s="352">
        <v>5</v>
      </c>
      <c r="D71" s="404" t="s">
        <v>65</v>
      </c>
      <c r="E71" s="405"/>
      <c r="F71" s="405"/>
      <c r="G71" s="405"/>
      <c r="H71" s="405"/>
      <c r="I71" s="405"/>
      <c r="J71" s="405"/>
      <c r="K71" s="405"/>
      <c r="L71" s="405"/>
      <c r="M71" s="405"/>
      <c r="N71" s="405"/>
      <c r="O71" s="405"/>
      <c r="P71" s="405"/>
      <c r="Q71" s="405"/>
      <c r="R71" s="405"/>
      <c r="S71" s="405"/>
      <c r="T71" s="405"/>
      <c r="U71" s="405"/>
      <c r="V71" s="405"/>
      <c r="W71" s="405"/>
      <c r="X71" s="405"/>
      <c r="Y71" s="405"/>
      <c r="Z71" s="405"/>
      <c r="AA71" s="405"/>
      <c r="AB71" s="405"/>
      <c r="AC71" s="263"/>
      <c r="AD71" s="263"/>
      <c r="AE71" s="264"/>
      <c r="AF71" s="364">
        <f>SUM(AQ72,AR72)</f>
        <v>0</v>
      </c>
      <c r="AG71" s="365"/>
      <c r="AH71" s="365"/>
      <c r="AI71" s="365"/>
      <c r="AJ71" s="365"/>
      <c r="AK71" s="365"/>
      <c r="AL71" s="365"/>
      <c r="AM71" s="365"/>
      <c r="AN71" s="366"/>
      <c r="AO71" s="1"/>
      <c r="AP71" s="1"/>
      <c r="AQ71" s="6">
        <f>IF(AF62&gt;0,IF( AND(OR(AE25="2006-2007",AE25="2007-2008"),U22&lt;&gt;"Female"),IF( MROUND(AF62,10)&lt;= 100000, 0, IF(AND(MROUND(AF62,10)&gt; 100000,MROUND(AF62,10)&lt;= 150000),  ROUND(ABS(MROUND(AF62,10)- 100000)*0.1,0), IF(AND(MROUND(AF62,10)&gt; 150000, MROUND(AF62,10)&lt;= 250000), ROUND(5000+ ABS(MROUND(AF62,10)- 150000)*0.2,0),IF(MROUND(AF62,10)&gt; 250000,  ROUND(25000+ABS(MROUND(AF62,10)- 250000)*0.3,0),  0)))),IF(AND(OR(AE25="2006-2007",AE25="2007-2008"),U22="Female"),IF(MROUND(AF62,10)&lt;= 135000, 0, IF(AND(MROUND(AF62,10)&gt; 135000, MROUND(AF62,10)&lt;= 150000), ROUND(ABS(MROUND(AF62,10)- 135000)*0.1,0), IF(AND(MROUND(AF62,10)&gt; 150000, MROUND(AF62,10)&lt;= 250000), ROUND(1500+ ABS(MROUND(AF62,10)- 150000)*0.2,0),  IF(MROUND(AF62,10)&gt; 250000, ROUND(21500+ABS(MROUND(AF62,10)- 250000)*0.3,0),0)))),IF(AND(AE25="2008-2009",U22&lt;&gt;"Female"), IF(MROUND(AF62,10)&lt;= 110000,  0,  IF(AND(MROUND(AF62,10)&gt; 110000, MROUND(AF62,10)&lt;= 150000),     ROUND(ABS(MROUND(AF62,10)- 110000)*0.1,0),  IF(AND(MROUND(AF62,10)&gt; 150000, MROUND(AF62,10)&lt;= 250000),  ROUND(4000+ ABS(MROUND(AF62,10)- 150000)*0.2,0),   IF(MROUND(AF62,10)&gt; 250000,   ROUND(24000+ABS(MROUND(AF62,10)- 250000)*0.3,0),0)))),IF(AND(AE25="2008-2009",U22="Female"), IF(MROUND(AF62,10)&lt;= 145000, 0, IF(AND(MROUND(AF62,10)&gt; 145000, MROUND(AF62,10)&lt;= 150000),     ROUND(ABS(MROUND(AF62,10)- 145000)*0.1,0),  IF(AND(MROUND(AF62,10)&gt; 150000, MROUND(AF62,10)&lt;= 250000),  ROUND(500+ ABS(MROUND(AF62,10)- 150000)*0.2,0),  IF(MROUND(AF62,10)&gt; 250000, ROUND(20500+ABS(MROUND(AF62,10)- 250000)*0.3,0),0)))), IF(AND(AE25="2009-2010",U22&lt;&gt;"Female"), IF(MROUND(AF62,10)&lt;= 150000, 0, IF(AND(MROUND(AF62,10)&gt; 150000, MROUND(AF62,10)&lt;= 300000), ROUND(ABS(MROUND(AF62,10)- 150000)*0.1,0), IF(AND(MROUND(AF62,10)&gt; 300000, MROUND(AF62,10)&lt;= 500000),  ROUND(15000+ ABS(MROUND(AF62,10)- 300000)*0.2,0),  IF(MROUND(AF62,10)&gt; 500000,  ROUND(55000+ABS(MROUND(AF62,10)- 500000)*0.3,0),0)))), IF(AND(AE25="2009-2010",U22="Female"), IF(MROUND(AF62,10)&lt;= 180000, 0, IF(AND(MROUND(AF62,10)&gt; 180000, MROUND(AF62,10)&lt;= 300000), ROUND(ABS(MROUND(AF62,10)- 180000)*0.1,0), IF(AND(MROUND(AF62,10)&gt; 300000, MROUND(AF62,10)&lt;= 500000), ROUND(12000+ ABS(MROUND(AF62,10)- 300000)*0.2,0),  IF(MROUND(AF62,10)&gt; 500000,  ROUND(52000+ABS(MROUND(AF62,10)- 500000)*0.3,0),0)))), IF(AND(AE25="2010-2011", U22&lt;&gt;"Female"), IF(MROUND(AF62,10)&lt;= 160000, 0, IF(AND(MROUND(AF62,10)&gt; 160000, MROUND(AF62,10)&lt;= 300000),ROUND(ABS(MROUND(AF62,10)- 160000)*0.1,0), IF(AND(MROUND(AF62,10)&gt; 300000, MROUND(AF62,10)&lt;= 500000),ROUND(14000+ ABS(MROUND(AF62,10)- 300000)*0.2,0),  IF(MROUND(AF62,10)&gt; 500000, ROUND(54000+ABS(MROUND(AF62,10)- 500000)*0.3,0),0)))),IF(AND(AE25="2010-2011",U22="Female"), IF(MROUND(AF62,10)&lt;= 190000, 0, IF(AND(MROUND(AF62,10)&gt; 190000, MROUND(AF62,10)&lt;= 300000),ROUND(ABS(MROUND(AF62,10)- 190000)*0.1,0), IF(AND(MROUND(AF62,10)&gt; 300000, MROUND(AF62,10)&lt;= 500000), ROUND(11000+ ABS(MROUND(AF62,10)- 300000)*0.2,0),IF(MROUND(AF62,10)&gt; 500000,  ROUND(51000+ABS(MROUND(AF62,10)- 500000)*0.3,0),0)))), IF(AND(AE25="2011-2012",U22&lt;&gt;"Female"), IF(MROUND(AF62,10)&lt;= 160000, 0, IF(AND(MROUND(AF62,10)&gt; 160000, MROUND(AF62,10)&lt;= 500000), ROUND(ABS(MROUND(AF62,10)- 160000)*0.1,0), IF(AND(MROUND(AF62,10)&gt; 500000, MROUND(AF62,10)&lt;= 800000), ROUND(34000+ ABS(MROUND(AF62,10)- 500000)*0.2,0),  IF(MROUND(AF62,10)&gt; 800000,  ROUND(94000+ABS(MROUND(AF62,10)- 800000)*0.3,0),0)))), IF(AND(OR(AE25="2011-2012",AE25="2012-2013"),U22="Female"), IF(MROUND(AF62,10)&lt;= 190000, 0, IF(AND(MROUND(AF62,10)&gt; 190000, MROUND(AF62,10)&lt;= 500000), ROUND(ABS(MROUND(AF62,10)- 190000)*0.1,0), IF(AND(MROUND(AF62,10)&gt; 500000, MROUND(AF62,10)&lt;= 800000),  ROUND(31000+ ABS(MROUND(AF62,10)- 500000)*0.2,0),  IF(MROUND(AF62,10)&gt; 800000,  ROUND(91000+ABS(MROUND(AF62,10)- 800000)*0.3,0),0)))), IF(AND(AE25="2012-2013", U22&lt;&gt;"Female"), IF(MROUND(AF62,10)&lt;= 180000, 0, IF(AND(MROUND(AF62,10)&gt; 180000, MROUND(AF62,10)&lt;= 500000), ROUND(ABS(MROUND(AF62,10)- 180000)*0.1,0), IF(AND(MROUND(AF62,10)&gt; 500000, MROUND(AF62,10)&lt;= 800000),  ROUND(32000+ ABS(MROUND(AF62,10)- 500000)*0.2,0),  IF(MROUND(AF62,10)&gt; 800000,  ROUND(92000+ABS(MROUND(AF62,10)- 800000)*0.3,0),0)))), IF(OR(AE25="2013-2014",AE25="2014-2015"), IF(MROUND(AF62,10)&lt;= 200000, 0, IF(AND(MROUND(AF62,10)&gt; 200000, MROUND(AF62,10)&lt;= 500000), ROUND(ABS(MROUND(AF62,10)- 200000)*0.1,0), IF(AND(MROUND(AF62,10)&gt; 500000, MROUND(AF62,10)&lt;= 1000000),  ROUND(30000+ ABS(MROUND(AF62,10)- 500000)*0.2,0),  IF(MROUND(AF62,10)&gt; 1000000,  ROUND(130000+ABS(MROUND(AF62,10)- 1000000)*0.3,0),0)))), IF(OR(AE25="2015-2016", AE25="2016-2017",AE25="2017-2018"), IF(MROUND(AF62,10)&lt;= 250000, 0, IF(AND(MROUND(AF62,10)&gt; 250000, MROUND(AF62,10)&lt;= 500000), ROUND(ABS(MROUND(AF62,10)- 250000)*0.1,0), IF(AND(MROUND(AF62,10)&gt; 500000, MROUND(AF62,10)&lt;= 1000000),  ROUND(25000+ ABS(MROUND(AF62,10)- 500000)*0.2,0),  IF(MROUND(AF62,10)&gt; 1000000,  ROUND(125000+ABS(MROUND(AF62,10)- 1000000)*0.3,0), 0)))),IF(OR(AE25="2018-2019",AE25="2019-2020",AE25="2020-2021",AE25="2021-2022"), IF(MROUND(AF62,10)&lt;= 250000, 0, IF(AND(MROUND(AF62,10)&gt; 250000, MROUND(AF62,10)&lt;= 500000), ROUND(ABS(MROUND(AF62,10)- 250000)*0.05,0), IF(AND(MROUND(AF62,10)&gt; 500000, MROUND(AF62,10)&lt;= 1000000),  ROUND(12500+ ABS(MROUND(AF62,10)- 500000)*0.2,0),  IF(MROUND(AF62,10)&gt; 1000000,  ROUND(112500+ABS(MROUND(AF62,10)- 1000000)*0.3,0), 0)))),IF(OR(AE25="2022-2023",AE25="2023-2024"), IF(MROUND(AF62,10)&lt;= 250000, 0, IF(AND(MROUND(AF62,10)&gt; 250000, MROUND(AF62,10)&lt;= 500000), ROUND(ABS(MROUND(AF62,10)- 250000)*0.05,0), IF(AND(MROUND(AF62,10)&gt; 500000, MROUND(AF62,10)&lt;= 750000),  ROUND(12500+ ABS(MROUND(AF62,10)- 500000)*0.1,0), IF(AND(MROUND(AF62,10)&gt; 750000, MROUND(AF62,10)&lt;= 1000000),  ROUND(37500+ ABS(MROUND(AF62,10)- 750000)*0.15,0),IF(AND(MROUND(AF62,10)&gt; 1000000, MROUND(AF62,10)&lt;= 1250000),  ROUND(75000+ ABS(MROUND(AF62,10)- 1000000)*0.2,0),IF(AND(MROUND(AF62,10)&gt; 1250000, MROUND(AF62,10)&lt;= 1500000),  ROUND(125000+ ABS(MROUND(AF62,10)- 1250000)*0.25,0), IF(MROUND(AF62,10)&gt; 1500000,  ROUND(187500+ABS(MROUND(AF62,10)- 1500000)*0.3,0), 0))))))),IF(OR(AE25="2024-2025"), IF(MROUND(AF62,10)&lt;= 300000, 0, IF(AND(MROUND(AF62,10)&gt; 300000, MROUND(AF62,10)&lt;= 600000), ROUND(ABS(MROUND(AF62,10)- 300000)*0.05,0), IF(AND(MROUND(AF62,10)&gt; 600000, MROUND(AF62,10)&lt;= 900000),  ROUND(15000+ ABS(MROUND(AF62,10)- 600000)*0.1,0), IF(AND(MROUND(AF62,10)&gt; 900000, MROUND(AF62,10)&lt;= 1200000),  ROUND(45000+ ABS(MROUND(AF62,10)- 900000)*0.15,0),IF(AND(MROUND(AF62,10)&gt; 1200000, MROUND(AF62,10)&lt;= 1500000),  ROUND(90000+ ABS(MROUND(AF62,10)- 1200000)*0.2,0),IF(MROUND(AF62,10)&gt; 1500000,  ROUND(150000+ ABS(MROUND(AF62,10)- 1500000)*0.3,0), 0)))))),IF(OR(AE25="2025-2026"), IF(MROUND(AF62,10)&lt;= 300000, 0, IF(AND(MROUND(AF62,10)&gt; 300000, MROUND(AF62,10)&lt;= 700000), ROUND(ABS(MROUND(AF62,10)- 300000)*0.05,0), IF(AND(MROUND(AF62,10)&gt; 700000, MROUND(AF62,10)&lt;= 1000000),  ROUND(20000+ ABS(MROUND(AF62,10)- 700000)*0.1,0), IF(AND(MROUND(AF62,10)&gt; 1000000, MROUND(AF62,10)&lt;= 1200000),  ROUND(50000+ ABS(MROUND(AF62,10)- 1000000)*0.15,0),IF(AND(MROUND(AF62,10)&gt; 1200000, MROUND(AF62,10)&lt;= 1500000),  ROUND(80000+ ABS(MROUND(AF62,10)- 1200000)*0.2,0),IF(MROUND(AF62,10)&gt; 1500000,  ROUND(140000+ ABS(MROUND(AF62,10)- 1500000)*0.3,0), 0)))))),0))))))))))))))))),0)</f>
        <v>0</v>
      </c>
      <c r="AR71" s="6">
        <f>IF(AF62&gt;0,IF(OR(AE25="2014-2015",AE25="2015-2016",AE25="2016-2017"),IF(AND(MROUND(AF62,10)&lt;=500000,MROUND(AF62,10)&lt;&gt;0),IF(AQ71&lt;=2000, AQ71,2000),0), IF(AE25="2017-2018",IF(AND(MROUND(AF62,10)&lt;=500000,MROUND(AF62,10)&lt;&gt;0),IF(AQ71&lt;=5000, AQ71,5000),0),IF(OR(AE25="2018-2019",AE25="2019-2020"),IF(AND(MROUND(AF62,10)&lt;=350000,MROUND(AF62,10)&lt;&gt;0),IF(AQ71&lt;=2500, AQ71,2500),0),IF(OR(AE25="2020-2021",AE25="2021-2022",AE25="2022-2023",AE25="2023-2024"),IF(AND(MROUND(AF62,10)&lt;=500000,MROUND(AF62,10)&lt;&gt;0),IF(AQ71&lt;=12500, AQ71,12500),0),IF(OR(AE25="2024-2025"),IF(AND(MROUND(AF62,10)&lt;=700000,MROUND(AF62,10)&lt;&gt;0),IF(AQ71&lt;=25000, AQ71,25000),IF((AF66-700000)&lt;=AQ69,AQ69-(AF66-700000),0)),IF(OR(AE25="2025-2026"),IF(AND(MROUND(AF62,10)&lt;=700000,MROUND(AF62,10)&lt;&gt;0),IF(AQ71&lt;=20000, AQ71,20000),IF((AF66-700000)&lt;=AQ69,AQ69-(AF66-700000),0)),0)))))),0)</f>
        <v>0</v>
      </c>
    </row>
    <row r="72" spans="2:49" ht="12.75" customHeight="1" x14ac:dyDescent="0.3">
      <c r="B72" s="1"/>
      <c r="C72" s="403"/>
      <c r="D72" s="406"/>
      <c r="E72" s="407"/>
      <c r="F72" s="407"/>
      <c r="G72" s="407"/>
      <c r="H72" s="407"/>
      <c r="I72" s="407"/>
      <c r="J72" s="407"/>
      <c r="K72" s="407"/>
      <c r="L72" s="407"/>
      <c r="M72" s="407"/>
      <c r="N72" s="407"/>
      <c r="O72" s="407"/>
      <c r="P72" s="407"/>
      <c r="Q72" s="407"/>
      <c r="R72" s="407"/>
      <c r="S72" s="407"/>
      <c r="T72" s="407"/>
      <c r="U72" s="407"/>
      <c r="V72" s="407"/>
      <c r="W72" s="407"/>
      <c r="X72" s="407"/>
      <c r="Y72" s="407"/>
      <c r="Z72" s="407"/>
      <c r="AA72" s="407"/>
      <c r="AB72" s="407"/>
      <c r="AC72" s="407"/>
      <c r="AD72" s="407"/>
      <c r="AE72" s="408"/>
      <c r="AF72" s="370"/>
      <c r="AG72" s="371"/>
      <c r="AH72" s="371"/>
      <c r="AI72" s="371"/>
      <c r="AJ72" s="371"/>
      <c r="AK72" s="371"/>
      <c r="AL72" s="371"/>
      <c r="AM72" s="371"/>
      <c r="AN72" s="372"/>
      <c r="AO72" s="1"/>
      <c r="AP72" s="1"/>
      <c r="AQ72" s="6">
        <f>IF((AQ71&lt;AR71),0,ROUND(ABS(AQ71-AR71),0))</f>
        <v>0</v>
      </c>
      <c r="AR72" s="6">
        <f>IF(OR(AE25="2006-2007",AE25="2007-2008"),ROUND(AQ72*0.02,0),IF(OR(AE25="2019-2020",AE25="2020-2021",AE25="2021-2022",AE25="2022-2023",AE25="2023-2024",AE25="2024-2025",AE25="2025-2026"),ROUND(AQ72*0.04,0),ROUND(AQ72*0.03,0)))</f>
        <v>0</v>
      </c>
    </row>
    <row r="73" spans="2:49" ht="10.5" customHeight="1" x14ac:dyDescent="0.3">
      <c r="B73" s="1"/>
      <c r="C73" s="352">
        <v>6</v>
      </c>
      <c r="D73" s="355" t="s">
        <v>66</v>
      </c>
      <c r="E73" s="356"/>
      <c r="F73" s="356"/>
      <c r="G73" s="356"/>
      <c r="H73" s="356"/>
      <c r="I73" s="356"/>
      <c r="J73" s="356"/>
      <c r="K73" s="356"/>
      <c r="L73" s="356"/>
      <c r="M73" s="356"/>
      <c r="N73" s="356"/>
      <c r="O73" s="356"/>
      <c r="P73" s="356"/>
      <c r="Q73" s="356"/>
      <c r="R73" s="356"/>
      <c r="S73" s="356"/>
      <c r="T73" s="356"/>
      <c r="U73" s="356"/>
      <c r="V73" s="356"/>
      <c r="W73" s="356"/>
      <c r="X73" s="356"/>
      <c r="Y73" s="356"/>
      <c r="Z73" s="356"/>
      <c r="AA73" s="356"/>
      <c r="AB73" s="356"/>
      <c r="AC73" s="357"/>
      <c r="AD73" s="357"/>
      <c r="AE73" s="358"/>
      <c r="AF73" s="364">
        <f>ABS(AF69-AF71)</f>
        <v>0</v>
      </c>
      <c r="AG73" s="365"/>
      <c r="AH73" s="365"/>
      <c r="AI73" s="365"/>
      <c r="AJ73" s="365"/>
      <c r="AK73" s="365"/>
      <c r="AL73" s="365"/>
      <c r="AM73" s="365"/>
      <c r="AN73" s="366"/>
      <c r="AO73" s="1"/>
      <c r="AP73" s="1"/>
    </row>
    <row r="74" spans="2:49" x14ac:dyDescent="0.3">
      <c r="B74" s="1"/>
      <c r="C74" s="353"/>
      <c r="D74" s="359"/>
      <c r="E74" s="132"/>
      <c r="F74" s="132"/>
      <c r="G74" s="132"/>
      <c r="H74" s="132"/>
      <c r="I74" s="132"/>
      <c r="J74" s="132"/>
      <c r="K74" s="132"/>
      <c r="L74" s="132"/>
      <c r="M74" s="132"/>
      <c r="N74" s="132"/>
      <c r="O74" s="132"/>
      <c r="P74" s="132"/>
      <c r="Q74" s="132"/>
      <c r="R74" s="132"/>
      <c r="S74" s="132"/>
      <c r="T74" s="132"/>
      <c r="U74" s="132"/>
      <c r="V74" s="132"/>
      <c r="W74" s="132"/>
      <c r="X74" s="132"/>
      <c r="Y74" s="132"/>
      <c r="Z74" s="132"/>
      <c r="AA74" s="132"/>
      <c r="AB74" s="132"/>
      <c r="AC74" s="132"/>
      <c r="AD74" s="132"/>
      <c r="AE74" s="360"/>
      <c r="AF74" s="367"/>
      <c r="AG74" s="368"/>
      <c r="AH74" s="368"/>
      <c r="AI74" s="368"/>
      <c r="AJ74" s="368"/>
      <c r="AK74" s="368"/>
      <c r="AL74" s="368"/>
      <c r="AM74" s="368"/>
      <c r="AN74" s="369"/>
      <c r="AO74" s="1"/>
      <c r="AP74" s="1"/>
    </row>
    <row r="75" spans="2:49" ht="11.25" customHeight="1" x14ac:dyDescent="0.3">
      <c r="B75" s="1"/>
      <c r="C75" s="354"/>
      <c r="D75" s="361"/>
      <c r="E75" s="362"/>
      <c r="F75" s="362"/>
      <c r="G75" s="362"/>
      <c r="H75" s="362"/>
      <c r="I75" s="362"/>
      <c r="J75" s="362"/>
      <c r="K75" s="362"/>
      <c r="L75" s="362"/>
      <c r="M75" s="362"/>
      <c r="N75" s="362"/>
      <c r="O75" s="362"/>
      <c r="P75" s="362"/>
      <c r="Q75" s="362"/>
      <c r="R75" s="362"/>
      <c r="S75" s="362"/>
      <c r="T75" s="362"/>
      <c r="U75" s="362"/>
      <c r="V75" s="362"/>
      <c r="W75" s="362"/>
      <c r="X75" s="362"/>
      <c r="Y75" s="362"/>
      <c r="Z75" s="362"/>
      <c r="AA75" s="362"/>
      <c r="AB75" s="362"/>
      <c r="AC75" s="362"/>
      <c r="AD75" s="362"/>
      <c r="AE75" s="363"/>
      <c r="AF75" s="370"/>
      <c r="AG75" s="371"/>
      <c r="AH75" s="371"/>
      <c r="AI75" s="371"/>
      <c r="AJ75" s="371"/>
      <c r="AK75" s="371"/>
      <c r="AL75" s="371"/>
      <c r="AM75" s="371"/>
      <c r="AN75" s="372"/>
      <c r="AO75" s="1"/>
      <c r="AP75" s="1"/>
    </row>
    <row r="76" spans="2:49" ht="9" customHeight="1" x14ac:dyDescent="0.3">
      <c r="B76" s="1"/>
      <c r="C76" s="352">
        <v>7</v>
      </c>
      <c r="D76" s="355" t="s">
        <v>67</v>
      </c>
      <c r="E76" s="356"/>
      <c r="F76" s="356"/>
      <c r="G76" s="356"/>
      <c r="H76" s="356"/>
      <c r="I76" s="356"/>
      <c r="J76" s="356"/>
      <c r="K76" s="356"/>
      <c r="L76" s="356"/>
      <c r="M76" s="356"/>
      <c r="N76" s="356"/>
      <c r="O76" s="356"/>
      <c r="P76" s="356"/>
      <c r="Q76" s="356"/>
      <c r="R76" s="356"/>
      <c r="S76" s="356"/>
      <c r="T76" s="356"/>
      <c r="U76" s="356"/>
      <c r="V76" s="356"/>
      <c r="W76" s="356"/>
      <c r="X76" s="356"/>
      <c r="Y76" s="356"/>
      <c r="Z76" s="356"/>
      <c r="AA76" s="356"/>
      <c r="AB76" s="356"/>
      <c r="AC76" s="357"/>
      <c r="AD76" s="357"/>
      <c r="AE76" s="358"/>
      <c r="AF76" s="364">
        <f>AK102</f>
        <v>0</v>
      </c>
      <c r="AG76" s="365"/>
      <c r="AH76" s="365"/>
      <c r="AI76" s="365"/>
      <c r="AJ76" s="365"/>
      <c r="AK76" s="365"/>
      <c r="AL76" s="365"/>
      <c r="AM76" s="365"/>
      <c r="AN76" s="366"/>
      <c r="AO76" s="1"/>
      <c r="AP76" s="1"/>
    </row>
    <row r="77" spans="2:49" x14ac:dyDescent="0.3">
      <c r="B77" s="1"/>
      <c r="C77" s="353"/>
      <c r="D77" s="359"/>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32"/>
      <c r="AD77" s="132"/>
      <c r="AE77" s="360"/>
      <c r="AF77" s="367"/>
      <c r="AG77" s="368"/>
      <c r="AH77" s="368"/>
      <c r="AI77" s="368"/>
      <c r="AJ77" s="368"/>
      <c r="AK77" s="368"/>
      <c r="AL77" s="368"/>
      <c r="AM77" s="368"/>
      <c r="AN77" s="369"/>
      <c r="AO77" s="1"/>
      <c r="AP77" s="1"/>
    </row>
    <row r="78" spans="2:49" ht="12" customHeight="1" x14ac:dyDescent="0.3">
      <c r="B78" s="1"/>
      <c r="C78" s="354"/>
      <c r="D78" s="361"/>
      <c r="E78" s="362"/>
      <c r="F78" s="362"/>
      <c r="G78" s="362"/>
      <c r="H78" s="362"/>
      <c r="I78" s="362"/>
      <c r="J78" s="362"/>
      <c r="K78" s="362"/>
      <c r="L78" s="362"/>
      <c r="M78" s="362"/>
      <c r="N78" s="362"/>
      <c r="O78" s="362"/>
      <c r="P78" s="362"/>
      <c r="Q78" s="362"/>
      <c r="R78" s="362"/>
      <c r="S78" s="362"/>
      <c r="T78" s="362"/>
      <c r="U78" s="362"/>
      <c r="V78" s="362"/>
      <c r="W78" s="362"/>
      <c r="X78" s="362"/>
      <c r="Y78" s="362"/>
      <c r="Z78" s="362"/>
      <c r="AA78" s="362"/>
      <c r="AB78" s="362"/>
      <c r="AC78" s="362"/>
      <c r="AD78" s="362"/>
      <c r="AE78" s="363"/>
      <c r="AF78" s="370"/>
      <c r="AG78" s="371"/>
      <c r="AH78" s="371"/>
      <c r="AI78" s="371"/>
      <c r="AJ78" s="371"/>
      <c r="AK78" s="371"/>
      <c r="AL78" s="371"/>
      <c r="AM78" s="371"/>
      <c r="AN78" s="372"/>
      <c r="AO78" s="1"/>
      <c r="AP78" s="1"/>
    </row>
    <row r="79" spans="2:49" x14ac:dyDescent="0.3">
      <c r="B79" s="1"/>
      <c r="C79" s="352">
        <v>8</v>
      </c>
      <c r="D79" s="355" t="s">
        <v>82</v>
      </c>
      <c r="E79" s="356"/>
      <c r="F79" s="356"/>
      <c r="G79" s="356"/>
      <c r="H79" s="356"/>
      <c r="I79" s="356"/>
      <c r="J79" s="356"/>
      <c r="K79" s="356"/>
      <c r="L79" s="356"/>
      <c r="M79" s="356"/>
      <c r="N79" s="356"/>
      <c r="O79" s="356"/>
      <c r="P79" s="356"/>
      <c r="Q79" s="356"/>
      <c r="R79" s="356"/>
      <c r="S79" s="356"/>
      <c r="T79" s="356"/>
      <c r="U79" s="356"/>
      <c r="V79" s="356"/>
      <c r="W79" s="356"/>
      <c r="X79" s="356"/>
      <c r="Y79" s="356"/>
      <c r="Z79" s="356"/>
      <c r="AA79" s="356"/>
      <c r="AB79" s="356"/>
      <c r="AC79" s="357"/>
      <c r="AD79" s="357"/>
      <c r="AE79" s="358"/>
      <c r="AF79" s="364">
        <f>IF(AND(AF27=M102,AF73&gt;AF76),ABS(AF73-AF76),0)</f>
        <v>0</v>
      </c>
      <c r="AG79" s="365"/>
      <c r="AH79" s="365"/>
      <c r="AI79" s="365"/>
      <c r="AJ79" s="365"/>
      <c r="AK79" s="365"/>
      <c r="AL79" s="365"/>
      <c r="AM79" s="365"/>
      <c r="AN79" s="366"/>
      <c r="AO79" s="1"/>
      <c r="AP79" s="1"/>
      <c r="AQ79" s="478" t="str">
        <f>IF(AND(M102=0,AF27=0),"",IF(AND(ISNUMBER(M102),OR(ISBLANK(AF27),AF27=0)),"Please enter the amount of Salary received as arrears in the cell 1(a) at the beginning of the sheet. ",IF(AF27&lt;&gt;M102,"The sum of the amounts of salary arrears distributed over different years in Table A does not match the amount entered as salary received in arrears in cell 1(a) at the beginning of the sheet.",IF(AND(AF27=M102,AF76&gt;AF73),"You are not eligible for relief u/s 89(1), since the tax computed in accordance with Table A is greater than the tax on salary received in arrears or advance.",""))))</f>
        <v/>
      </c>
      <c r="AR79" s="478"/>
      <c r="AS79" s="478"/>
      <c r="AT79" s="478"/>
      <c r="AU79" s="478"/>
      <c r="AV79" s="478"/>
      <c r="AW79" s="327"/>
    </row>
    <row r="80" spans="2:49" x14ac:dyDescent="0.3">
      <c r="B80" s="1"/>
      <c r="C80" s="353"/>
      <c r="D80" s="359"/>
      <c r="E80" s="132"/>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32"/>
      <c r="AD80" s="132"/>
      <c r="AE80" s="360"/>
      <c r="AF80" s="367"/>
      <c r="AG80" s="368"/>
      <c r="AH80" s="368"/>
      <c r="AI80" s="368"/>
      <c r="AJ80" s="368"/>
      <c r="AK80" s="368"/>
      <c r="AL80" s="368"/>
      <c r="AM80" s="368"/>
      <c r="AN80" s="369"/>
      <c r="AO80" s="39"/>
      <c r="AP80" s="40"/>
      <c r="AQ80" s="478"/>
      <c r="AR80" s="478"/>
      <c r="AS80" s="478"/>
      <c r="AT80" s="478"/>
      <c r="AU80" s="478"/>
      <c r="AV80" s="478"/>
      <c r="AW80" s="327"/>
    </row>
    <row r="81" spans="2:53" x14ac:dyDescent="0.3">
      <c r="B81" s="1"/>
      <c r="C81" s="354"/>
      <c r="D81" s="361"/>
      <c r="E81" s="362"/>
      <c r="F81" s="362"/>
      <c r="G81" s="362"/>
      <c r="H81" s="362"/>
      <c r="I81" s="362"/>
      <c r="J81" s="362"/>
      <c r="K81" s="362"/>
      <c r="L81" s="362"/>
      <c r="M81" s="362"/>
      <c r="N81" s="362"/>
      <c r="O81" s="362"/>
      <c r="P81" s="362"/>
      <c r="Q81" s="362"/>
      <c r="R81" s="362"/>
      <c r="S81" s="362"/>
      <c r="T81" s="362"/>
      <c r="U81" s="362"/>
      <c r="V81" s="362"/>
      <c r="W81" s="362"/>
      <c r="X81" s="362"/>
      <c r="Y81" s="362"/>
      <c r="Z81" s="362"/>
      <c r="AA81" s="362"/>
      <c r="AB81" s="362"/>
      <c r="AC81" s="362"/>
      <c r="AD81" s="362"/>
      <c r="AE81" s="363"/>
      <c r="AF81" s="370"/>
      <c r="AG81" s="371"/>
      <c r="AH81" s="371"/>
      <c r="AI81" s="371"/>
      <c r="AJ81" s="371"/>
      <c r="AK81" s="371"/>
      <c r="AL81" s="371"/>
      <c r="AM81" s="371"/>
      <c r="AN81" s="372"/>
      <c r="AO81" s="41"/>
      <c r="AP81" s="40"/>
      <c r="AQ81" s="478"/>
      <c r="AR81" s="478"/>
      <c r="AS81" s="478"/>
      <c r="AT81" s="478"/>
      <c r="AU81" s="478"/>
      <c r="AV81" s="478"/>
      <c r="AW81" s="327"/>
    </row>
    <row r="82" spans="2:53" ht="6" customHeight="1" x14ac:dyDescent="0.3">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row>
    <row r="83" spans="2:53" x14ac:dyDescent="0.3">
      <c r="B83" s="1"/>
      <c r="C83" s="1"/>
      <c r="D83" s="1"/>
      <c r="E83" s="1"/>
      <c r="F83" s="1"/>
      <c r="G83" s="1"/>
      <c r="H83" s="1"/>
      <c r="I83" s="1"/>
      <c r="J83" s="1"/>
      <c r="K83" s="1"/>
      <c r="L83" s="1"/>
      <c r="M83" s="1"/>
      <c r="N83" s="1"/>
      <c r="O83" s="1"/>
      <c r="P83" s="1"/>
      <c r="Q83" s="373" t="s">
        <v>68</v>
      </c>
      <c r="R83" s="373"/>
      <c r="S83" s="373"/>
      <c r="T83" s="373"/>
      <c r="U83" s="373"/>
      <c r="V83" s="373"/>
      <c r="W83" s="373"/>
      <c r="X83" s="373"/>
      <c r="Y83" s="1"/>
      <c r="Z83" s="78" t="s">
        <v>169</v>
      </c>
      <c r="AA83" s="1"/>
      <c r="AB83" s="1"/>
      <c r="AC83" s="1"/>
      <c r="AD83" s="1"/>
      <c r="AE83" s="1"/>
      <c r="AF83" s="1"/>
      <c r="AG83" s="1"/>
      <c r="AH83" s="1"/>
      <c r="AI83" s="1"/>
      <c r="AJ83" s="1"/>
      <c r="AK83" s="1"/>
      <c r="AL83" s="1"/>
      <c r="AM83" s="1"/>
      <c r="AN83" s="1"/>
      <c r="AO83" s="1"/>
      <c r="AP83" s="1"/>
    </row>
    <row r="84" spans="2:53" x14ac:dyDescent="0.3">
      <c r="B84" s="1"/>
      <c r="C84" s="1"/>
      <c r="D84" s="1"/>
      <c r="E84" s="1"/>
      <c r="F84" s="1"/>
      <c r="G84" s="1"/>
      <c r="H84" s="1"/>
      <c r="I84" s="1"/>
      <c r="J84" s="1"/>
      <c r="K84" s="1"/>
      <c r="L84" s="1"/>
      <c r="M84" s="1"/>
      <c r="N84" s="1"/>
      <c r="O84" s="374" t="s">
        <v>69</v>
      </c>
      <c r="P84" s="374"/>
      <c r="Q84" s="374"/>
      <c r="R84" s="374"/>
      <c r="S84" s="374"/>
      <c r="T84" s="374"/>
      <c r="U84" s="374"/>
      <c r="V84" s="374"/>
      <c r="W84" s="374"/>
      <c r="X84" s="374"/>
      <c r="Y84" s="374"/>
      <c r="Z84" s="374"/>
      <c r="AA84" s="374"/>
      <c r="AB84" s="1"/>
      <c r="AC84" s="1"/>
      <c r="AD84" s="1"/>
      <c r="AE84" s="1"/>
      <c r="AF84" s="1"/>
      <c r="AG84" s="1"/>
      <c r="AH84" s="1"/>
      <c r="AI84" s="1"/>
      <c r="AJ84" s="1"/>
      <c r="AK84" s="1"/>
      <c r="AL84" s="1"/>
      <c r="AM84" s="1"/>
      <c r="AN84" s="1"/>
      <c r="AO84" s="1"/>
      <c r="AP84" s="1"/>
    </row>
    <row r="85" spans="2:53" ht="15" customHeight="1" x14ac:dyDescent="0.3">
      <c r="B85" s="375" t="s">
        <v>70</v>
      </c>
      <c r="C85" s="376"/>
      <c r="D85" s="376"/>
      <c r="E85" s="376"/>
      <c r="F85" s="377"/>
      <c r="G85" s="375" t="s">
        <v>71</v>
      </c>
      <c r="H85" s="384"/>
      <c r="I85" s="384"/>
      <c r="J85" s="384"/>
      <c r="K85" s="384"/>
      <c r="L85" s="385"/>
      <c r="M85" s="392" t="s">
        <v>83</v>
      </c>
      <c r="N85" s="393"/>
      <c r="O85" s="393"/>
      <c r="P85" s="393"/>
      <c r="Q85" s="393"/>
      <c r="R85" s="394"/>
      <c r="S85" s="375" t="s">
        <v>84</v>
      </c>
      <c r="T85" s="384"/>
      <c r="U85" s="384"/>
      <c r="V85" s="384"/>
      <c r="W85" s="384"/>
      <c r="X85" s="385"/>
      <c r="Y85" s="375" t="s">
        <v>72</v>
      </c>
      <c r="Z85" s="384"/>
      <c r="AA85" s="384"/>
      <c r="AB85" s="384"/>
      <c r="AC85" s="384"/>
      <c r="AD85" s="385"/>
      <c r="AE85" s="401" t="s">
        <v>73</v>
      </c>
      <c r="AF85" s="384"/>
      <c r="AG85" s="384"/>
      <c r="AH85" s="384"/>
      <c r="AI85" s="384"/>
      <c r="AJ85" s="385"/>
      <c r="AK85" s="402" t="s">
        <v>74</v>
      </c>
      <c r="AL85" s="384"/>
      <c r="AM85" s="384"/>
      <c r="AN85" s="384"/>
      <c r="AO85" s="384"/>
      <c r="AP85" s="385"/>
    </row>
    <row r="86" spans="2:53" x14ac:dyDescent="0.3">
      <c r="B86" s="378"/>
      <c r="C86" s="379"/>
      <c r="D86" s="379"/>
      <c r="E86" s="379"/>
      <c r="F86" s="380"/>
      <c r="G86" s="386"/>
      <c r="H86" s="387"/>
      <c r="I86" s="387"/>
      <c r="J86" s="387"/>
      <c r="K86" s="387"/>
      <c r="L86" s="388"/>
      <c r="M86" s="395"/>
      <c r="N86" s="396"/>
      <c r="O86" s="396"/>
      <c r="P86" s="396"/>
      <c r="Q86" s="396"/>
      <c r="R86" s="397"/>
      <c r="S86" s="386"/>
      <c r="T86" s="387"/>
      <c r="U86" s="387"/>
      <c r="V86" s="387"/>
      <c r="W86" s="387"/>
      <c r="X86" s="388"/>
      <c r="Y86" s="386"/>
      <c r="Z86" s="387"/>
      <c r="AA86" s="387"/>
      <c r="AB86" s="387"/>
      <c r="AC86" s="387"/>
      <c r="AD86" s="388"/>
      <c r="AE86" s="386"/>
      <c r="AF86" s="387"/>
      <c r="AG86" s="387"/>
      <c r="AH86" s="387"/>
      <c r="AI86" s="387"/>
      <c r="AJ86" s="388"/>
      <c r="AK86" s="386"/>
      <c r="AL86" s="387"/>
      <c r="AM86" s="387"/>
      <c r="AN86" s="387"/>
      <c r="AO86" s="387"/>
      <c r="AP86" s="388"/>
    </row>
    <row r="87" spans="2:53" x14ac:dyDescent="0.3">
      <c r="B87" s="378"/>
      <c r="C87" s="379"/>
      <c r="D87" s="379"/>
      <c r="E87" s="379"/>
      <c r="F87" s="380"/>
      <c r="G87" s="386"/>
      <c r="H87" s="387"/>
      <c r="I87" s="387"/>
      <c r="J87" s="387"/>
      <c r="K87" s="387"/>
      <c r="L87" s="388"/>
      <c r="M87" s="395"/>
      <c r="N87" s="396"/>
      <c r="O87" s="396"/>
      <c r="P87" s="396"/>
      <c r="Q87" s="396"/>
      <c r="R87" s="397"/>
      <c r="S87" s="386"/>
      <c r="T87" s="387"/>
      <c r="U87" s="387"/>
      <c r="V87" s="387"/>
      <c r="W87" s="387"/>
      <c r="X87" s="388"/>
      <c r="Y87" s="386"/>
      <c r="Z87" s="387"/>
      <c r="AA87" s="387"/>
      <c r="AB87" s="387"/>
      <c r="AC87" s="387"/>
      <c r="AD87" s="388"/>
      <c r="AE87" s="386"/>
      <c r="AF87" s="387"/>
      <c r="AG87" s="387"/>
      <c r="AH87" s="387"/>
      <c r="AI87" s="387"/>
      <c r="AJ87" s="388"/>
      <c r="AK87" s="386"/>
      <c r="AL87" s="387"/>
      <c r="AM87" s="387"/>
      <c r="AN87" s="387"/>
      <c r="AO87" s="387"/>
      <c r="AP87" s="388"/>
    </row>
    <row r="88" spans="2:53" x14ac:dyDescent="0.3">
      <c r="B88" s="378"/>
      <c r="C88" s="379"/>
      <c r="D88" s="379"/>
      <c r="E88" s="379"/>
      <c r="F88" s="380"/>
      <c r="G88" s="386"/>
      <c r="H88" s="387"/>
      <c r="I88" s="387"/>
      <c r="J88" s="387"/>
      <c r="K88" s="387"/>
      <c r="L88" s="388"/>
      <c r="M88" s="395"/>
      <c r="N88" s="396"/>
      <c r="O88" s="396"/>
      <c r="P88" s="396"/>
      <c r="Q88" s="396"/>
      <c r="R88" s="397"/>
      <c r="S88" s="386"/>
      <c r="T88" s="387"/>
      <c r="U88" s="387"/>
      <c r="V88" s="387"/>
      <c r="W88" s="387"/>
      <c r="X88" s="388"/>
      <c r="Y88" s="386"/>
      <c r="Z88" s="387"/>
      <c r="AA88" s="387"/>
      <c r="AB88" s="387"/>
      <c r="AC88" s="387"/>
      <c r="AD88" s="388"/>
      <c r="AE88" s="386"/>
      <c r="AF88" s="387"/>
      <c r="AG88" s="387"/>
      <c r="AH88" s="387"/>
      <c r="AI88" s="387"/>
      <c r="AJ88" s="388"/>
      <c r="AK88" s="386"/>
      <c r="AL88" s="387"/>
      <c r="AM88" s="387"/>
      <c r="AN88" s="387"/>
      <c r="AO88" s="387"/>
      <c r="AP88" s="388"/>
    </row>
    <row r="89" spans="2:53" x14ac:dyDescent="0.3">
      <c r="B89" s="378"/>
      <c r="C89" s="379"/>
      <c r="D89" s="379"/>
      <c r="E89" s="379"/>
      <c r="F89" s="380"/>
      <c r="G89" s="386"/>
      <c r="H89" s="387"/>
      <c r="I89" s="387"/>
      <c r="J89" s="387"/>
      <c r="K89" s="387"/>
      <c r="L89" s="388"/>
      <c r="M89" s="395"/>
      <c r="N89" s="396"/>
      <c r="O89" s="396"/>
      <c r="P89" s="396"/>
      <c r="Q89" s="396"/>
      <c r="R89" s="397"/>
      <c r="S89" s="386"/>
      <c r="T89" s="387"/>
      <c r="U89" s="387"/>
      <c r="V89" s="387"/>
      <c r="W89" s="387"/>
      <c r="X89" s="388"/>
      <c r="Y89" s="386"/>
      <c r="Z89" s="387"/>
      <c r="AA89" s="387"/>
      <c r="AB89" s="387"/>
      <c r="AC89" s="387"/>
      <c r="AD89" s="388"/>
      <c r="AE89" s="386"/>
      <c r="AF89" s="387"/>
      <c r="AG89" s="387"/>
      <c r="AH89" s="387"/>
      <c r="AI89" s="387"/>
      <c r="AJ89" s="388"/>
      <c r="AK89" s="386"/>
      <c r="AL89" s="387"/>
      <c r="AM89" s="387"/>
      <c r="AN89" s="387"/>
      <c r="AO89" s="387"/>
      <c r="AP89" s="388"/>
    </row>
    <row r="90" spans="2:53" ht="105" customHeight="1" x14ac:dyDescent="0.3">
      <c r="B90" s="381"/>
      <c r="C90" s="382"/>
      <c r="D90" s="382"/>
      <c r="E90" s="382"/>
      <c r="F90" s="383"/>
      <c r="G90" s="389"/>
      <c r="H90" s="390"/>
      <c r="I90" s="390"/>
      <c r="J90" s="390"/>
      <c r="K90" s="390"/>
      <c r="L90" s="391"/>
      <c r="M90" s="398"/>
      <c r="N90" s="399"/>
      <c r="O90" s="399"/>
      <c r="P90" s="399"/>
      <c r="Q90" s="399"/>
      <c r="R90" s="400"/>
      <c r="S90" s="389"/>
      <c r="T90" s="390"/>
      <c r="U90" s="390"/>
      <c r="V90" s="390"/>
      <c r="W90" s="390"/>
      <c r="X90" s="391"/>
      <c r="Y90" s="389"/>
      <c r="Z90" s="390"/>
      <c r="AA90" s="390"/>
      <c r="AB90" s="390"/>
      <c r="AC90" s="390"/>
      <c r="AD90" s="391"/>
      <c r="AE90" s="389"/>
      <c r="AF90" s="390"/>
      <c r="AG90" s="390"/>
      <c r="AH90" s="390"/>
      <c r="AI90" s="390"/>
      <c r="AJ90" s="391"/>
      <c r="AK90" s="389"/>
      <c r="AL90" s="390"/>
      <c r="AM90" s="390"/>
      <c r="AN90" s="390"/>
      <c r="AO90" s="390"/>
      <c r="AP90" s="391"/>
    </row>
    <row r="91" spans="2:53" x14ac:dyDescent="0.3">
      <c r="B91" s="348">
        <v>1</v>
      </c>
      <c r="C91" s="227"/>
      <c r="D91" s="227"/>
      <c r="E91" s="227"/>
      <c r="F91" s="255"/>
      <c r="G91" s="348">
        <v>2</v>
      </c>
      <c r="H91" s="227"/>
      <c r="I91" s="227"/>
      <c r="J91" s="227"/>
      <c r="K91" s="227"/>
      <c r="L91" s="255"/>
      <c r="M91" s="348">
        <v>3</v>
      </c>
      <c r="N91" s="227"/>
      <c r="O91" s="227"/>
      <c r="P91" s="227"/>
      <c r="Q91" s="227"/>
      <c r="R91" s="255"/>
      <c r="S91" s="348">
        <v>4</v>
      </c>
      <c r="T91" s="349"/>
      <c r="U91" s="349"/>
      <c r="V91" s="349"/>
      <c r="W91" s="349"/>
      <c r="X91" s="350"/>
      <c r="Y91" s="348">
        <v>5</v>
      </c>
      <c r="Z91" s="227"/>
      <c r="AA91" s="227"/>
      <c r="AB91" s="227"/>
      <c r="AC91" s="227"/>
      <c r="AD91" s="255"/>
      <c r="AE91" s="348">
        <v>6</v>
      </c>
      <c r="AF91" s="349"/>
      <c r="AG91" s="349"/>
      <c r="AH91" s="349"/>
      <c r="AI91" s="349"/>
      <c r="AJ91" s="255"/>
      <c r="AK91" s="351">
        <v>7</v>
      </c>
      <c r="AL91" s="227"/>
      <c r="AM91" s="227"/>
      <c r="AN91" s="227"/>
      <c r="AO91" s="227"/>
      <c r="AP91" s="255"/>
    </row>
    <row r="92" spans="2:53" x14ac:dyDescent="0.3">
      <c r="B92" s="536" t="str">
        <f>IF(ISBLANK('Form 10E - Old Scheme'!B92),"",'Form 10E - Old Scheme'!B92)</f>
        <v/>
      </c>
      <c r="C92" s="537"/>
      <c r="D92" s="537"/>
      <c r="E92" s="537"/>
      <c r="F92" s="538"/>
      <c r="G92" s="335">
        <f>IF(ISNUMBER('Form 10E - Old Scheme'!G92),'Form 10E - Old Scheme'!G92,0)</f>
        <v>0</v>
      </c>
      <c r="H92" s="336"/>
      <c r="I92" s="336"/>
      <c r="J92" s="336"/>
      <c r="K92" s="336"/>
      <c r="L92" s="337"/>
      <c r="M92" s="335">
        <f>IF(ISNUMBER('Form 10E - Old Scheme'!M92),'Form 10E - Old Scheme'!M92,0)</f>
        <v>0</v>
      </c>
      <c r="N92" s="336"/>
      <c r="O92" s="336"/>
      <c r="P92" s="336"/>
      <c r="Q92" s="336"/>
      <c r="R92" s="337"/>
      <c r="S92" s="335">
        <f>SUM(G92,M92)</f>
        <v>0</v>
      </c>
      <c r="T92" s="336"/>
      <c r="U92" s="336"/>
      <c r="V92" s="336"/>
      <c r="W92" s="336"/>
      <c r="X92" s="337"/>
      <c r="Y92" s="335">
        <f>MROUND(SUM(AV92,AW92),10)</f>
        <v>0</v>
      </c>
      <c r="Z92" s="336"/>
      <c r="AA92" s="336"/>
      <c r="AB92" s="336"/>
      <c r="AC92" s="336"/>
      <c r="AD92" s="337"/>
      <c r="AE92" s="335">
        <f>SUM(AZ92,BA92)</f>
        <v>0</v>
      </c>
      <c r="AF92" s="336"/>
      <c r="AG92" s="336"/>
      <c r="AH92" s="336"/>
      <c r="AI92" s="336"/>
      <c r="AJ92" s="338"/>
      <c r="AK92" s="339">
        <f t="shared" ref="AK92:AK101" si="0">ABS(AE92-Y92)</f>
        <v>0</v>
      </c>
      <c r="AL92" s="340"/>
      <c r="AM92" s="340"/>
      <c r="AN92" s="340"/>
      <c r="AO92" s="340"/>
      <c r="AP92" s="341"/>
      <c r="AQ92" s="38" t="str">
        <f>IF(AND(OR(NOT(ISBLANK(G92)),NOT(ISBLANK(M92))),OR(ISBLANK(B92),B92="Select")),"Please select a Financial Year","")</f>
        <v/>
      </c>
      <c r="AT92" s="6">
        <f>IF( AND(OR(B92="2005-2006",B92="2006-2007"),$U$22&lt;&gt;"Female"),IF( MROUND(G92,10)&lt;= 100000, 0, IF(AND(MROUND(G92,10)&gt; 100000,MROUND(G92,10)&lt;= 150000),  ROUND(ABS(MROUND(G92,10)- 100000)*0.1,0), IF(AND(MROUND(G92,10)&gt; 150000, MROUND(G92,10)&lt;= 250000), ROUND(5000+ ABS(MROUND(G92,10)- 150000)*0.2,0),IF(MROUND(G92,10)&gt; 250000,  ROUND(25000+ABS(MROUND(G92,10)- 250000)*0.3,0),  0)))),IF(AND(OR(B92="2005-2006",B92="2006-2007"),$U$22="Female"),IF(MROUND(G92,10)&lt;= 135000, 0, IF(AND(MROUND(G92,10)&gt; 135000, MROUND(G92,10)&lt;= 150000), ROUND(ABS(MROUND(G92,10)- 135000)*0.1,0), IF(AND(MROUND(G92,10)&gt; 150000, MROUND(G92,10)&lt;= 250000), ROUND(1500+ ABS(MROUND(G92,10)- 150000)*0.2,0),  IF(MROUND(G92,10)&gt; 250000, ROUND(21500+ABS(MROUND(G92,10)- 250000)*0.3,0),0)))),IF(AND(B92="2007-2008",$U$22&lt;&gt;"Female"), IF(MROUND(G92,10)&lt;= 110000,  0,  IF(AND(MROUND(G92,10)&gt; 110000, MROUND(G92,10)&lt;= 150000), ROUND(ABS(MROUND(G92,10)- 110000)*0.1,0),  IF(AND(MROUND(G92,10)&gt; 150000, MROUND(G92,10)&lt;= 250000),  ROUND(4000+ ABS(MROUND(G92,10)- 150000)*0.2,0),   IF(MROUND(G92,10)&gt; 250000,   ROUND(24000+ABS(MROUND(G92,10)- 250000)*0.3,0),0)))),IF(AND(B92="2007-2008",$U$22="Female"), IF(MROUND(G92,10)&lt;= 145000, 0, IF(AND(MROUND(G92,10)&gt; 145000, MROUND(G92,10)&lt;= 150000),     ROUND(ABS(MROUND(G92,10)- 145000)*0.1,0),  IF(AND(MROUND(G92,10)&gt; 150000, MROUND(G92,10)&lt;= 250000),  ROUND(500+ ABS(MROUND(G92,10)- 150000)*0.2,0),  IF(MROUND(G92,10)&gt; 250000, ROUND(20500+ABS(MROUND(G92,10)- 250000)*0.3,0),0)))), IF(AND(B92="2008-2009",$U$22&lt;&gt;"Female"), IF(MROUND(G92,10)&lt;= 150000, 0, IF(AND(MROUND(G92,10)&gt; 150000, MROUND(G92,10)&lt;= 300000), ROUND(ABS(MROUND(G92,10)- 150000)*0.1,0), IF(AND(MROUND(G92,10)&gt; 300000, MROUND(G92,10)&lt;= 500000),  ROUND(15000+ ABS(MROUND(G92,10)- 300000)*0.2,0),  IF(MROUND(G92,10)&gt; 500000,  ROUND(55000+ABS(MROUND(G92,10)- 500000)*0.3,0),0)))), IF(AND(B92="2008-2009",$U$22="Female"), IF(MROUND(G92,10)&lt;= 180000, 0, IF(AND(MROUND(G92,10)&gt; 180000, MROUND(G92,10)&lt;= 300000), ROUND(ABS(MROUND(G92,10)- 180000)*0.1,0), IF(AND(MROUND(G92,10)&gt; 300000, MROUND(G92,10)&lt;= 500000), ROUND(12000+ ABS(MROUND(G92,10)- 300000)*0.2,0),  IF(MROUND(G92,10)&gt; 500000,  ROUND(52000+ABS(MROUND(G92,10)- 500000)*0.3,0),0)))), IF(AND(B92="2009-2010", $U$22&lt;&gt;"Female"), IF(MROUND(G92,10)&lt;= 160000, 0, IF(AND(MROUND(G92,10)&gt; 160000, MROUND(G92,10)&lt;= 300000),ROUND(ABS(MROUND(G92,10)- 160000)*0.1,0), IF(AND(MROUND(G92,10)&gt; 300000, MROUND(G92,10)&lt;= 500000),ROUND(14000+ ABS(MROUND(G92,10)- 300000)*0.2,0),  IF(MROUND(G92,10)&gt; 500000, ROUND(54000+ABS(MROUND(G92,10)- 500000)*0.3,0),0)))),IF(AND(B92="2009-2010",$U$22="Female"), IF(MROUND(G92,10)&lt;= 190000, 0, IF(AND(MROUND(G92,10)&gt; 190000, MROUND(G92,10)&lt;= 300000),ROUND(ABS(MROUND(G92,10)- 190000)*0.1,0), IF(AND(MROUND(G92,10)&gt; 300000, MROUND(G92,10)&lt;= 500000), ROUND(11000+ ABS(MROUND(G92,10)- 300000)*0.2,0),IF(MROUND(G92,10)&gt; 500000,  ROUND(51000+ABS(MROUND(G92,10)- 500000)*0.3,0),0)))), IF(AND(B92="2010-2011",$U$22&lt;&gt;"Female"), IF(MROUND(G92,10)&lt;= 160000, 0, IF(AND(MROUND(G92,10)&gt; 160000, MROUND(G92,10)&lt;= 500000), ROUND(ABS(MROUND(G92,10)- 160000)*0.1,0), IF(AND(MROUND(G92,10)&gt; 500000, MROUND(G92,10)&lt;= 800000), ROUND(34000+ ABS(MROUND(G92,10)- 500000)*0.2,0),  IF(MROUND(G92,10)&gt; 800000,  ROUND(94000+ABS(MROUND(G92,10)- 800000)*0.3,0),0)))), IF(AND(OR(B92="2010-2011",B92="2011-2012"),$U$22="Female"), IF(MROUND(G92,10)&lt;= 190000, 0, IF(AND(MROUND(G92,10)&gt; 190000, MROUND(G92,10)&lt;= 500000), ROUND(ABS(MROUND(G92,10)- 190000)*0.1,0), IF(AND(MROUND(G92,10)&gt; 500000, MROUND(G92,10)&lt;= 800000),  ROUND(31000+ ABS(MROUND(G92,10)- 500000)*0.2,0),  IF(MROUND(G92,10)&gt; 800000,  ROUND(91000+ABS(MROUND(G92,10)- 800000)*0.3,0),0)))), IF(AND(B92="2011-2012", $U$22&lt;&gt;"Female"), IF(MROUND(G92,10)&lt;= 180000, 0, IF(AND(MROUND(G92,10)&gt; 180000, MROUND(G92,10)&lt;= 500000), ROUND(ABS(MROUND(G92,10)- 180000)*0.1,0), IF(AND(MROUND(G92,10)&gt; 500000, MROUND(G92,10)&lt;= 800000),  ROUND(32000+ ABS(MROUND(G92,10)- 500000)*0.2,0),  IF(MROUND(G92,10)&gt; 800000,  ROUND(92000+ABS(MROUND(G92,10)- 800000)*0.3,0),0)))), IF(OR(B92="2012-2013",B92="2013-2014"), IF(MROUND(G92,10)&lt;= 200000, 0, IF(AND(MROUND(G92,10)&gt; 200000, MROUND(G92,10)&lt;= 500000), ROUND(ABS(MROUND(G92,10)- 200000)*0.1,0), IF(AND(MROUND(G92,10)&gt; 500000, MROUND(G92,10)&lt;= 1000000),  ROUND(30000+ ABS(MROUND(G92,10)- 500000)*0.2,0),  IF(MROUND(G92,10)&gt; 1000000,  ROUND(130000+ABS(MROUND(G92,10)- 1000000)*0.3,0),0)))), IF(OR(B92="2014-2015", B92="2015-2016",B92="2016-2017"), IF(MROUND(G92,10)&lt;= 250000, 0, IF(AND(MROUND(G92,10)&gt; 250000, MROUND(G92,10)&lt;= 500000), ROUND(ABS(MROUND(G92,10)- 250000)*0.1,0), IF(AND(MROUND(G92,10)&gt; 500000, MROUND(G92,10)&lt;= 1000000),  ROUND(25000+ ABS(MROUND(G92,10)- 500000)*0.2,0),  IF(MROUND(G92,10)&gt; 1000000,  ROUND(125000+ABS(MROUND(G92,10)- 1000000)*0.3,0), 0)))), IF(OR(B92="2017-2018",B92="2018-2019",B92="2019-2020",AND(B92="2020-2021",'Basic Information'!$AG$22="No"),AND(B92="2021-2022",'Basic Information'!$AG$25="No"),AND(B92="2022-2023",'Basic Information'!$AG$28="No"),AND(B92="2023-2024",'Basic Information'!$AG$31="Yes")), IF(MROUND(G92,10)&lt;= 250000, 0, IF(AND(MROUND(G92,10)&gt; 250000, MROUND(G92,10)&lt;= 500000), ROUND(ABS(MROUND(G92,10)- 250000)*0.05,0), IF(AND(MROUND(G92,10)&gt; 500000, MROUND(G92,10)&lt;= 1000000),  ROUND(12500+ ABS(MROUND(G92,10)- 500000)*0.2,0),  IF(MROUND(G92,10)&gt; 1000000,  ROUND(112500+ABS(MROUND(G92,10)- 1000000)*0.3,0), 0)))),IF(OR(AND(B92="2020-2021",'Basic Information'!$AG$22="Yes"),AND(B92="2021-2022",'Basic Information'!$AG$25="Yes"),AND(B92="2022-2023",'Basic Information'!$AG$28="Yes")), IF(MROUND(G92,10)&lt;= 250000, 0, IF(AND(MROUND(G92,10)&gt; 250000, MROUND(G92,10)&lt;= 500000), ROUND(ABS(MROUND(G92,10)- 250000)*0.05,0), IF(AND(MROUND(G92,10)&gt; 500000, MROUND(G92,10)&lt;= 750000),  ROUND(12500+ ABS(MROUND(G92,10)- 500000)*0.1,0), IF(AND(MROUND(G92,10)&gt; 750000, MROUND(G92,10)&lt;= 1000000),  ROUND(37500+ ABS(MROUND(G92,10)- 750000)*0.15,0),IF(AND(MROUND(G92,10)&gt; 1000000, MROUND(G92,10)&lt;= 1250000),  ROUND(75000+ ABS(MROUND(G92,10)- 1000000)*0.2,0),IF(AND(MROUND(G92,10)&gt; 1250000, MROUND(G92,10)&lt;= 1500000),  ROUND(125000+ ABS(MROUND(G92,10)- 1250000)*0.25,0), IF(MROUND(G92,10)&gt; 1500000,  ROUND(187500+ABS(MROUND(G92,10)- 1500000)*0.3,0), 0))))))),IF(AND(B92="2023-2024",'Basic Information'!$AG$31="No"), IF(MROUND(G92,10)&lt;= 300000, 0, IF(AND(MROUND(G92,10)&gt; 300000, MROUND(G92,10)&lt;= 600000), ROUND(ABS(MROUND(G92,10)- 300000)*0.05,0), IF(AND(MROUND(G92,10)&gt; 600000, MROUND(G92,10)&lt;= 900000),  ROUND(15000+ ABS(MROUND(G92,10)- 600000)*0.1,0), IF(AND(MROUND(G92,10)&gt; 900000, MROUND(G92,10)&lt;= 1200000),  ROUND(45000+ ABS(MROUND(G92,10)- 900000)*0.15,0),IF(AND(MROUND(G92,10)&gt; 1200000, MROUND(G92,10)&lt;= 1500000),  ROUND(90000+ ABS(MROUND(G92,10)- 1200000)*0.2,0), IF(MROUND(G92,10)&gt; 1500000,  ROUND(150000+ABS(MROUND(G92,10)- 1500000)*0.3,0), 0)))))),0))))))))))))))))</f>
        <v>0</v>
      </c>
      <c r="AU92" s="6">
        <f>IF(OR(B92="2013-2014",B92="2014-2015",B92="2015-2016"),IF(AND(MROUND(G92,10)&lt;=500000,MROUND(G92,10)&lt;&gt;0),IF(AT92&lt;=2000, AT92,2000),0), IF(B92="2016-2017",IF(AND(MROUND(G92,10)&lt;=500000,MROUND(G92,10)&lt;&gt;0),IF(AT92&lt;=5000, AT92,5000),0), IF(OR(B92="2017-2018",B92="2018-2019"),IF(AND(MROUND(G92,10)&lt;=350000,MROUND(G92,10)&lt;&gt;0),IF(AT92&lt;=2500, AT92,2500),0), IF(OR(B92="2019-2020",B92="2020-2021",B92="2021-2022",B92="2022-2023",AND(B92="2023-2024",'Basic Information'!$AG$31="Yes")),IF(AND(MROUND(G92,10)&lt;=500000,MROUND(G92,10)&lt;&gt;0),IF(AT92&lt;=12500, AT92,12500),0), IF(OR(AND(B92="2023-2024",'Basic Information'!$AG$31="No")),IF(AND(MROUND(G92,10)&lt;=700000,MROUND(G92,10)&lt;&gt;0),IF(AT92&lt;=25000, AT92,25000),IF(AND(MROUND(G92,10)&lt;&gt;0,(MROUND(G92,10)-700000)&lt;=AT92),AT92-(MROUND(G92,10)-700000),0)),0)))))</f>
        <v>0</v>
      </c>
      <c r="AV92" s="6">
        <f>IF((AT92&lt;AU92),0,ROUND(ABS(AT92- AU92),0))</f>
        <v>0</v>
      </c>
      <c r="AW92" s="6">
        <f>IF(OR(B92="2005-2006",B92="2006-2007"),ROUND(AV92*0.02,0),IF(OR(B92="2018-2019",B92="2019-2020",B92="2020-2021",B92="2021-2022",B92="2022-2023",B92="2023-2024"),ROUND(AV92*0.04,0),ROUND(AV92*0.03,0)))</f>
        <v>0</v>
      </c>
      <c r="AX92" s="6">
        <f>IF( AND(OR(B92="2005-2006",B92="2006-2007"),$U$22&lt;&gt;"Female"),IF( MROUND(S92,10)&lt;= 100000, 0, IF(AND(MROUND(S92,10)&gt; 100000,MROUND(S92,10)&lt;= 150000),  ROUND(ABS(MROUND(S92,10)- 100000)*0.1,0), IF(AND(MROUND(S92,10)&gt; 150000, MROUND(S92,10)&lt;= 250000), ROUND(5000+ ABS(MROUND(S92,10)- 150000)*0.2,0),IF(MROUND(S92,10)&gt; 250000,  ROUND(25000+ABS(MROUND(S92,10)- 250000)*0.3,0),  0)))),IF(AND(OR(B92="2005-2006",B92="2006-2007"),$U$22="Female"),IF(MROUND(S92,10)&lt;= 135000, 0, IF(AND(MROUND(S92,10)&gt; 135000, MROUND(S92,10)&lt;= 150000), ROUND(ABS(MROUND(S92,10)- 135000)*0.1,0), IF(AND(MROUND(S92,10)&gt; 150000, MROUND(S92,10)&lt;= 250000), ROUND(1500+ ABS(MROUND(S92,10)- 150000)*0.2,0),  IF(MROUND(S92,10)&gt; 250000, ROUND(21500+ABS(MROUND(S92,10)- 250000)*0.3,0),0)))),IF(AND(B92="2007-2008",$U$22&lt;&gt;"Female"), IF(MROUND(S92,10)&lt;= 110000,  0,  IF(AND(MROUND(S92,10)&gt; 110000, MROUND(S92,10)&lt;= 150000),     ROUND(ABS(MROUND(S92,10)- 110000)*0.1,0),  IF(AND(MROUND(S92,10)&gt; 150000, MROUND(S92,10)&lt;= 250000),  ROUND(4000+ ABS(MROUND(S92,10)- 150000)*0.2,0),   IF(MROUND(S92,10)&gt; 250000,   ROUND(24000+ABS(MROUND(S92,10)- 250000)*0.3,0),0)))),IF(AND(B92="2007-2008",$U$22="Female"), IF(MROUND(S92,10)&lt;= 145000, 0, IF(AND(MROUND(S92,10)&gt; 145000, MROUND(S92,10)&lt;= 150000),     ROUND(ABS(MROUND(S92,10)- 145000)*0.1,0),  IF(AND(MROUND(S92,10)&gt; 150000, MROUND(S92,10)&lt;= 250000),  ROUND(500+ ABS(MROUND(S92,10)- 150000)*0.2,0),  IF(MROUND(S92,10)&gt; 250000, ROUND(20500+ABS(MROUND(S92,10)- 250000)*0.3,0),0)))), IF(AND(B92="2008-2009",$U$22&lt;&gt;"Female"), IF(MROUND(S92,10)&lt;= 150000, 0, IF(AND(MROUND(S92,10)&gt; 150000, MROUND(S92,10)&lt;= 300000), ROUND(ABS(MROUND(S92,10)- 150000)*0.1,0), IF(AND(MROUND(S92,10)&gt; 300000, MROUND(S92,10)&lt;= 500000),  ROUND(15000+ ABS(MROUND(S92,10)- 300000)*0.2,0),  IF(MROUND(S92,10)&gt; 500000,  ROUND(55000+ABS(MROUND(S92,10)- 500000)*0.3,0),0)))), IF(AND(B92="2008-2009",$U$22="Female"), IF(MROUND(S92,10)&lt;= 180000, 0, IF(AND(MROUND(S92,10)&gt; 180000, MROUND(S92,10)&lt;= 300000), ROUND(ABS(MROUND(S92,10)- 180000)*0.1,0), IF(AND(MROUND(S92,10)&gt; 300000, MROUND(S92,10)&lt;= 500000), ROUND(12000+ ABS(MROUND(S92,10)- 300000)*0.2,0),  IF(MROUND(S92,10)&gt; 500000,  ROUND(52000+ABS(MROUND(S92,10)- 500000)*0.3,0),0)))), IF(AND(B92="2009-2010", $U$22&lt;&gt;"Female"), IF(MROUND(S92,10)&lt;= 160000, 0, IF(AND(MROUND(S92,10)&gt; 160000, MROUND(S92,10)&lt;= 300000),ROUND(ABS(MROUND(S92,10)- 160000)*0.1,0), IF(AND(MROUND(S92,10)&gt; 300000, MROUND(S92,10)&lt;= 500000),ROUND(14000+ ABS(MROUND(S92,10)- 300000)*0.2,0),  IF(MROUND(S92,10)&gt; 500000, ROUND(54000+ABS(MROUND(S92,10)- 500000)*0.3,0),0)))),IF(AND(B92="2009-2010",$U$22="Female"), IF(MROUND(S92,10)&lt;= 190000, 0, IF(AND(MROUND(S92,10)&gt; 190000, MROUND(S92,10)&lt;= 300000),ROUND(ABS(MROUND(S92,10)- 190000)*0.1,0), IF(AND(MROUND(S92,10)&gt; 300000, MROUND(S92,10)&lt;= 500000), ROUND(11000+ ABS(MROUND(S92,10)- 300000)*0.2,0),IF(MROUND(S92,10)&gt; 500000,  ROUND(51000+ABS(MROUND(S92,10)- 500000)*0.3,0),0)))), IF(AND(B92="2010-2011",$U$22&lt;&gt;"Female"), IF(MROUND(S92,10)&lt;= 160000, 0, IF(AND(MROUND(S92,10)&gt; 160000, MROUND(S92,10)&lt;= 500000), ROUND(ABS(MROUND(S92,10)- 160000)*0.1,0), IF(AND(MROUND(S92,10)&gt; 500000, MROUND(S92,10)&lt;= 800000), ROUND(34000+ ABS(MROUND(S92,10)- 500000)*0.2,0),  IF(MROUND(S92,10)&gt; 800000,  ROUND(94000+ABS(MROUND(S92,10)- 800000)*0.3,0),0)))), IF(AND(OR(B92="2010-2011",B92="2011-2012"),$U$22="Female"), IF(MROUND(S92,10)&lt;= 190000, 0, IF(AND(MROUND(S92,10)&gt; 190000, MROUND(S92,10)&lt;= 500000), ROUND(ABS(MROUND(S92,10)- 190000)*0.1,0), IF(AND(MROUND(S92,10)&gt; 500000, MROUND(S92,10)&lt;= 800000),  ROUND(31000+ ABS(MROUND(S92,10)- 500000)*0.2,0),  IF(MROUND(S92,10)&gt; 800000,  ROUND(91000+ABS(MROUND(S92,10)- 800000)*0.3,0),0)))), IF(AND(B92="2011-2012", $U$22&lt;&gt;"Female"), IF(MROUND(S92,10)&lt;= 180000, 0, IF(AND(MROUND(S92,10)&gt; 180000, MROUND(S92,10)&lt;= 500000), ROUND(ABS(MROUND(S92,10)- 180000)*0.1,0), IF(AND(MROUND(S92,10)&gt; 500000, MROUND(S92,10)&lt;= 800000),  ROUND(32000+ ABS(MROUND(S92,10)- 500000)*0.2,0),  IF(MROUND(S92,10)&gt; 800000,  ROUND(92000+ABS(MROUND(S92,10)- 800000)*0.3,0),0)))), IF(OR(B92="2012-2013",B92="2013-2014"), IF(MROUND(S92,10)&lt;= 200000, 0, IF(AND(MROUND(S92,10)&gt; 200000, MROUND(S92,10)&lt;= 500000), ROUND(ABS(MROUND(S92,10)- 200000)*0.1,0), IF(AND(MROUND(S92,10)&gt; 500000, MROUND(S92,10)&lt;= 1000000),  ROUND(30000+ ABS(MROUND(S92,10)- 500000)*0.2,0),  IF(MROUND(S92,10)&gt; 1000000,  ROUND(130000+ABS(MROUND(S92,10)- 1000000)*0.3,0),0)))), IF(OR(B92="2014-2015", B92="2015-2016",B92="2016-2017"), IF(MROUND(S92,10)&lt;= 250000, 0, IF(AND(MROUND(S92,10)&gt; 250000, MROUND(S92,10)&lt;= 500000), ROUND(ABS(MROUND(S92,10)- 250000)*0.1,0), IF(AND(MROUND(S92,10)&gt; 500000, MROUND(S92,10)&lt;= 1000000),  ROUND(25000+ ABS(MROUND(S92,10)- 500000)*0.2,0),  IF(MROUND(S92,10)&gt; 1000000,  ROUND(125000+ABS(MROUND(S92,10)- 1000000)*0.3,0), 0)))),IF(OR(B92="2017-2018",B92="2018-2019",B92="2019-2020",AND(B92="2020-2021",'Basic Information'!$AG$22="No"),AND(B92="2021-2022",'Basic Information'!$AG$25="No"),AND(B92="2022-2023",'Basic Information'!$AG$28="No"),AND(B92="2023-2024",'Basic Information'!$AG$31="Yes")), IF(MROUND(S92,10)&lt;= 250000, 0, IF(AND(MROUND(S92,10)&gt; 250000, MROUND(S92,10)&lt;= 500000), ROUND(ABS(MROUND(S92,10)- 250000)*0.05,0), IF(AND(MROUND(S92,10)&gt; 500000, MROUND(S92,10)&lt;= 1000000),  ROUND(12500+ ABS(MROUND(S92,10)- 500000)*0.2,0),  IF(MROUND(S92,10)&gt; 1000000,  ROUND(112500+ABS(MROUND(S92,10)- 1000000)*0.3,0), 0)))),IF(OR(AND(B92="2020-2021",'Basic Information'!$AG$22="Yes"),AND(B92="2021-2022",'Basic Information'!$AG$25="Yes"),AND(B92="2022-2023",'Basic Information'!$AG$28="Yes")), IF(MROUND(S92,10)&lt;= 250000, 0, IF(AND(MROUND(S92,10)&gt; 250000, MROUND(S92,10)&lt;= 500000), ROUND(ABS(MROUND(S92,10)- 250000)*0.05,0), IF(AND(MROUND(S92,10)&gt; 500000, MROUND(S92,10)&lt;= 750000),  ROUND(12500+ ABS(MROUND(S92,10)- 500000)*0.1,0), IF(AND(MROUND(S92,10)&gt; 750000, MROUND(S92,10)&lt;= 1000000),  ROUND(37500+ ABS(MROUND(S92,10)- 750000)*0.15,0),IF(AND(MROUND(S92,10)&gt; 1000000, MROUND(S92,10)&lt;= 1250000),  ROUND(75000+ ABS(MROUND(S92,10)- 1000000)*0.2,0),IF(AND(MROUND(S92,10)&gt; 1250000, MROUND(S92,10)&lt;= 1500000),  ROUND(125000+ ABS(MROUND(S92,10)- 1250000)*0.25,0), IF(MROUND(S92,10)&gt; 1500000,  ROUND(187500+ABS(MROUND(S92,10)- 1500000)*0.3,0), 0))))))),IF(AND(B92="2023-2024",'Basic Information'!$AG$31="No"), IF(MROUND(S92,10)&lt;= 300000, 0, IF(AND(MROUND(S92,10)&gt; 300000, MROUND(S92,10)&lt;= 600000), ROUND(ABS(MROUND(S92,10)- 300000)*0.05,0), IF(AND(MROUND(S92,10)&gt; 600000, MROUND(S92,10)&lt;= 900000),  ROUND(15000+ ABS(MROUND(S92,10)- 600000)*0.1,0), IF(AND(MROUND(S92,10)&gt; 900000, MROUND(S92,10)&lt;= 1200000),  ROUND(45000+ ABS(MROUND(S92,10)- 900000)*0.15,0),IF(AND(MROUND(S92,10)&gt; 1200000, MROUND(S92,10)&lt;= 1500000),  ROUND(90000+ ABS(MROUND(S92,10)- 1200000)*0.2,0), IF(MROUND(S92,10)&gt; 1500000,  ROUND(150000+ABS(MROUND(S92,10)- 1500000)*0.3,0), 0)))))),0))))))))))))))))</f>
        <v>0</v>
      </c>
      <c r="AY92" s="6">
        <f>IF(OR(B92="2013-2014",B92="2014-2015",B92="2015-2016"),IF(AND(MROUND(S92,10)&lt;=500000,MROUND(S92,10)&lt;&gt;0),IF(AX92&lt;=2000, AX92,2000),0), IF(B92="2016-2017",IF(AND(MROUND(S92,10)&lt;=500000,MROUND(S92,10)&lt;&gt;0),IF(AX92&lt;=5000, AX92,5000),0), IF(OR(B92="2017-2018",B92="2018-2019"),IF(AND(MROUND(S92,10)&lt;=350000,MROUND(S92,10)&lt;&gt;0),IF(AX92&lt;=2500, AX92,2500),0), IF(OR(B92="2019-2020",B92="2020-2021",B92="2021-2022",B92="2022-2023",AND(B92="2023-2024",'Basic Information'!$AG$31="Yes")),IF(AND(MROUND(S92,10)&lt;=500000,MROUND(S92,10)&lt;&gt;0),IF(AX92&lt;=12500, AX92,12500),0), IF(OR(AND(B92="2023-2024",'Basic Information'!$AG$31="No")),IF(AND(MROUND(S92,10)&lt;=700000,MROUND(S92,10)&lt;&gt;0),IF(AX92&lt;=25000, AX92,25000),IF(AND(MROUND(S92,10)&lt;&gt;0,(MROUND(S92,10)-700000)&lt;= AX92), AX92-(MROUND(S92,10)-700000),0)),0)))))</f>
        <v>0</v>
      </c>
      <c r="AZ92" s="6">
        <f t="shared" ref="AZ92" si="1">IF((AX92&lt;AY92),0,ROUND(ABS(AX92- AY92),0))</f>
        <v>0</v>
      </c>
      <c r="BA92" s="6">
        <f>IF(OR(B92="2005-2006",B92="2006-2007"),ROUND(AZ92*0.02,0),IF(OR(B92="2018-2019",B92="2019-2020",B92="2020-2021",B92="2021-2022",B92="2022-2023",B92="2023-2024"),ROUND(AZ92*0.04,0),ROUND(AZ92*0.03,0)))</f>
        <v>0</v>
      </c>
    </row>
    <row r="93" spans="2:53" x14ac:dyDescent="0.3">
      <c r="B93" s="536" t="str">
        <f>IF(ISBLANK('Form 10E - Old Scheme'!B93),"",'Form 10E - Old Scheme'!B93)</f>
        <v/>
      </c>
      <c r="C93" s="537"/>
      <c r="D93" s="537"/>
      <c r="E93" s="537"/>
      <c r="F93" s="538"/>
      <c r="G93" s="335">
        <f>IF(ISNUMBER('Form 10E - Old Scheme'!G93),'Form 10E - Old Scheme'!G93,0)</f>
        <v>0</v>
      </c>
      <c r="H93" s="336"/>
      <c r="I93" s="336"/>
      <c r="J93" s="336"/>
      <c r="K93" s="336"/>
      <c r="L93" s="337"/>
      <c r="M93" s="335">
        <f>IF(ISNUMBER('Form 10E - Old Scheme'!M93),'Form 10E - Old Scheme'!M93,0)</f>
        <v>0</v>
      </c>
      <c r="N93" s="336"/>
      <c r="O93" s="336"/>
      <c r="P93" s="336"/>
      <c r="Q93" s="336"/>
      <c r="R93" s="337"/>
      <c r="S93" s="335">
        <f t="shared" ref="S93:S100" si="2">SUM(G93,M93)</f>
        <v>0</v>
      </c>
      <c r="T93" s="336"/>
      <c r="U93" s="336"/>
      <c r="V93" s="336"/>
      <c r="W93" s="336"/>
      <c r="X93" s="337"/>
      <c r="Y93" s="335">
        <f t="shared" ref="Y93:Y100" si="3">MROUND(SUM(AV93,AW93),10)</f>
        <v>0</v>
      </c>
      <c r="Z93" s="336"/>
      <c r="AA93" s="336"/>
      <c r="AB93" s="336"/>
      <c r="AC93" s="336"/>
      <c r="AD93" s="337"/>
      <c r="AE93" s="335">
        <f t="shared" ref="AE93:AE100" si="4">SUM(AZ93,BA93)</f>
        <v>0</v>
      </c>
      <c r="AF93" s="336"/>
      <c r="AG93" s="336"/>
      <c r="AH93" s="336"/>
      <c r="AI93" s="336"/>
      <c r="AJ93" s="338"/>
      <c r="AK93" s="339">
        <f t="shared" si="0"/>
        <v>0</v>
      </c>
      <c r="AL93" s="340"/>
      <c r="AM93" s="340"/>
      <c r="AN93" s="340"/>
      <c r="AO93" s="340"/>
      <c r="AP93" s="341"/>
      <c r="AQ93" s="38" t="str">
        <f>IF(AND(OR(NOT(ISBLANK(G93)),NOT(ISBLANK(M93))),OR(ISBLANK(B93),B93="Select")),"Please select a Financial Year","")</f>
        <v/>
      </c>
      <c r="AT93" s="6">
        <f>IF( AND(OR(B93="2005-2006",B93="2006-2007"),$U$22&lt;&gt;"Female"),IF( MROUND(G93,10)&lt;= 100000, 0, IF(AND(MROUND(G93,10)&gt; 100000,MROUND(G93,10)&lt;= 150000),  ROUND(ABS(MROUND(G93,10)- 100000)*0.1,0), IF(AND(MROUND(G93,10)&gt; 150000, MROUND(G93,10)&lt;= 250000), ROUND(5000+ ABS(MROUND(G93,10)- 150000)*0.2,0),IF(MROUND(G93,10)&gt; 250000,  ROUND(25000+ABS(MROUND(G93,10)- 250000)*0.3,0),  0)))),IF(AND(OR(B93="2005-2006",B93="2006-2007"),$U$22="Female"),IF(MROUND(G93,10)&lt;= 135000, 0, IF(AND(MROUND(G93,10)&gt; 135000, MROUND(G93,10)&lt;= 150000), ROUND(ABS(MROUND(G93,10)- 135000)*0.1,0), IF(AND(MROUND(G93,10)&gt; 150000, MROUND(G93,10)&lt;= 250000), ROUND(1500+ ABS(MROUND(G93,10)- 150000)*0.2,0),  IF(MROUND(G93,10)&gt; 250000, ROUND(21500+ABS(MROUND(G93,10)- 250000)*0.3,0),0)))),IF(AND(B93="2007-2008",$U$22&lt;&gt;"Female"), IF(MROUND(G93,10)&lt;= 110000,  0,  IF(AND(MROUND(G93,10)&gt; 110000, MROUND(G93,10)&lt;= 150000), ROUND(ABS(MROUND(G93,10)- 110000)*0.1,0),  IF(AND(MROUND(G93,10)&gt; 150000, MROUND(G93,10)&lt;= 250000),  ROUND(4000+ ABS(MROUND(G93,10)- 150000)*0.2,0),   IF(MROUND(G93,10)&gt; 250000,   ROUND(24000+ABS(MROUND(G93,10)- 250000)*0.3,0),0)))),IF(AND(B93="2007-2008",$U$22="Female"), IF(MROUND(G93,10)&lt;= 145000, 0, IF(AND(MROUND(G93,10)&gt; 145000, MROUND(G93,10)&lt;= 150000),     ROUND(ABS(MROUND(G93,10)- 145000)*0.1,0),  IF(AND(MROUND(G93,10)&gt; 150000, MROUND(G93,10)&lt;= 250000),  ROUND(500+ ABS(MROUND(G93,10)- 150000)*0.2,0),  IF(MROUND(G93,10)&gt; 250000, ROUND(20500+ABS(MROUND(G93,10)- 250000)*0.3,0),0)))), IF(AND(B93="2008-2009",$U$22&lt;&gt;"Female"), IF(MROUND(G93,10)&lt;= 150000, 0, IF(AND(MROUND(G93,10)&gt; 150000, MROUND(G93,10)&lt;= 300000), ROUND(ABS(MROUND(G93,10)- 150000)*0.1,0), IF(AND(MROUND(G93,10)&gt; 300000, MROUND(G93,10)&lt;= 500000),  ROUND(15000+ ABS(MROUND(G93,10)- 300000)*0.2,0),  IF(MROUND(G93,10)&gt; 500000,  ROUND(55000+ABS(MROUND(G93,10)- 500000)*0.3,0),0)))), IF(AND(B93="2008-2009",$U$22="Female"), IF(MROUND(G93,10)&lt;= 180000, 0, IF(AND(MROUND(G93,10)&gt; 180000, MROUND(G93,10)&lt;= 300000), ROUND(ABS(MROUND(G93,10)- 180000)*0.1,0), IF(AND(MROUND(G93,10)&gt; 300000, MROUND(G93,10)&lt;= 500000), ROUND(12000+ ABS(MROUND(G93,10)- 300000)*0.2,0),  IF(MROUND(G93,10)&gt; 500000,  ROUND(52000+ABS(MROUND(G93,10)- 500000)*0.3,0),0)))), IF(AND(B93="2009-2010", $U$22&lt;&gt;"Female"), IF(MROUND(G93,10)&lt;= 160000, 0, IF(AND(MROUND(G93,10)&gt; 160000, MROUND(G93,10)&lt;= 300000),ROUND(ABS(MROUND(G93,10)- 160000)*0.1,0), IF(AND(MROUND(G93,10)&gt; 300000, MROUND(G93,10)&lt;= 500000),ROUND(14000+ ABS(MROUND(G93,10)- 300000)*0.2,0),  IF(MROUND(G93,10)&gt; 500000, ROUND(54000+ABS(MROUND(G93,10)- 500000)*0.3,0),0)))),IF(AND(B93="2009-2010",$U$22="Female"), IF(MROUND(G93,10)&lt;= 190000, 0, IF(AND(MROUND(G93,10)&gt; 190000, MROUND(G93,10)&lt;= 300000),ROUND(ABS(MROUND(G93,10)- 190000)*0.1,0), IF(AND(MROUND(G93,10)&gt; 300000, MROUND(G93,10)&lt;= 500000), ROUND(11000+ ABS(MROUND(G93,10)- 300000)*0.2,0),IF(MROUND(G93,10)&gt; 500000,  ROUND(51000+ABS(MROUND(G93,10)- 500000)*0.3,0),0)))), IF(AND(B93="2010-2011",$U$22&lt;&gt;"Female"), IF(MROUND(G93,10)&lt;= 160000, 0, IF(AND(MROUND(G93,10)&gt; 160000, MROUND(G93,10)&lt;= 500000), ROUND(ABS(MROUND(G93,10)- 160000)*0.1,0), IF(AND(MROUND(G93,10)&gt; 500000, MROUND(G93,10)&lt;= 800000), ROUND(34000+ ABS(MROUND(G93,10)- 500000)*0.2,0),  IF(MROUND(G93,10)&gt; 800000,  ROUND(94000+ABS(MROUND(G93,10)- 800000)*0.3,0),0)))), IF(AND(OR(B93="2010-2011",B93="2011-2012"),$U$22="Female"), IF(MROUND(G93,10)&lt;= 190000, 0, IF(AND(MROUND(G93,10)&gt; 190000, MROUND(G93,10)&lt;= 500000), ROUND(ABS(MROUND(G93,10)- 190000)*0.1,0), IF(AND(MROUND(G93,10)&gt; 500000, MROUND(G93,10)&lt;= 800000),  ROUND(31000+ ABS(MROUND(G93,10)- 500000)*0.2,0),  IF(MROUND(G93,10)&gt; 800000,  ROUND(91000+ABS(MROUND(G93,10)- 800000)*0.3,0),0)))), IF(AND(B93="2011-2012", $U$22&lt;&gt;"Female"), IF(MROUND(G93,10)&lt;= 180000, 0, IF(AND(MROUND(G93,10)&gt; 180000, MROUND(G93,10)&lt;= 500000), ROUND(ABS(MROUND(G93,10)- 180000)*0.1,0), IF(AND(MROUND(G93,10)&gt; 500000, MROUND(G93,10)&lt;= 800000),  ROUND(32000+ ABS(MROUND(G93,10)- 500000)*0.2,0),  IF(MROUND(G93,10)&gt; 800000,  ROUND(92000+ABS(MROUND(G93,10)- 800000)*0.3,0),0)))), IF(OR(B93="2012-2013",B93="2013-2014"), IF(MROUND(G93,10)&lt;= 200000, 0, IF(AND(MROUND(G93,10)&gt; 200000, MROUND(G93,10)&lt;= 500000), ROUND(ABS(MROUND(G93,10)- 200000)*0.1,0), IF(AND(MROUND(G93,10)&gt; 500000, MROUND(G93,10)&lt;= 1000000),  ROUND(30000+ ABS(MROUND(G93,10)- 500000)*0.2,0),  IF(MROUND(G93,10)&gt; 1000000,  ROUND(130000+ABS(MROUND(G93,10)- 1000000)*0.3,0),0)))), IF(OR(B93="2014-2015", B93="2015-2016",B93="2016-2017"), IF(MROUND(G93,10)&lt;= 250000, 0, IF(AND(MROUND(G93,10)&gt; 250000, MROUND(G93,10)&lt;= 500000), ROUND(ABS(MROUND(G93,10)- 250000)*0.1,0), IF(AND(MROUND(G93,10)&gt; 500000, MROUND(G93,10)&lt;= 1000000),  ROUND(25000+ ABS(MROUND(G93,10)- 500000)*0.2,0),  IF(MROUND(G93,10)&gt; 1000000,  ROUND(125000+ABS(MROUND(G93,10)- 1000000)*0.3,0), 0)))), IF(OR(B93="2017-2018",B93="2018-2019",B93="2019-2020",AND(B93="2020-2021",'Basic Information'!$AG$22="No"),AND(B93="2021-2022",'Basic Information'!$AG$25="No"),AND(B93="2022-2023",'Basic Information'!$AG$28="No"),AND(B93="2023-2024",'Basic Information'!$AG$31="Yes")), IF(MROUND(G93,10)&lt;= 250000, 0, IF(AND(MROUND(G93,10)&gt; 250000, MROUND(G93,10)&lt;= 500000), ROUND(ABS(MROUND(G93,10)- 250000)*0.05,0), IF(AND(MROUND(G93,10)&gt; 500000, MROUND(G93,10)&lt;= 1000000),  ROUND(12500+ ABS(MROUND(G93,10)- 500000)*0.2,0),  IF(MROUND(G93,10)&gt; 1000000,  ROUND(112500+ABS(MROUND(G93,10)- 1000000)*0.3,0), 0)))),IF(OR(AND(B93="2020-2021",'Basic Information'!$AG$22="Yes"),AND(B93="2021-2022",'Basic Information'!$AG$25="Yes"),AND(B93="2022-2023",'Basic Information'!$AG$28="Yes")), IF(MROUND(G93,10)&lt;= 250000, 0, IF(AND(MROUND(G93,10)&gt; 250000, MROUND(G93,10)&lt;= 500000), ROUND(ABS(MROUND(G93,10)- 250000)*0.05,0), IF(AND(MROUND(G93,10)&gt; 500000, MROUND(G93,10)&lt;= 750000),  ROUND(12500+ ABS(MROUND(G93,10)- 500000)*0.1,0), IF(AND(MROUND(G93,10)&gt; 750000, MROUND(G93,10)&lt;= 1000000),  ROUND(37500+ ABS(MROUND(G93,10)- 750000)*0.15,0),IF(AND(MROUND(G93,10)&gt; 1000000, MROUND(G93,10)&lt;= 1250000),  ROUND(75000+ ABS(MROUND(G93,10)- 1000000)*0.2,0),IF(AND(MROUND(G93,10)&gt; 1250000, MROUND(G93,10)&lt;= 1500000),  ROUND(125000+ ABS(MROUND(G93,10)- 1250000)*0.25,0), IF(MROUND(G93,10)&gt; 1500000,  ROUND(187500+ABS(MROUND(G93,10)- 1500000)*0.3,0), 0))))))),IF(AND(B93="2023-2024",'Basic Information'!$AG$31="No"), IF(MROUND(G93,10)&lt;= 300000, 0, IF(AND(MROUND(G93,10)&gt; 300000, MROUND(G93,10)&lt;= 600000), ROUND(ABS(MROUND(G93,10)- 300000)*0.05,0), IF(AND(MROUND(G93,10)&gt; 600000, MROUND(G93,10)&lt;= 900000),  ROUND(15000+ ABS(MROUND(G93,10)- 600000)*0.1,0), IF(AND(MROUND(G93,10)&gt; 900000, MROUND(G93,10)&lt;= 1200000),  ROUND(45000+ ABS(MROUND(G93,10)- 900000)*0.15,0),IF(AND(MROUND(G93,10)&gt; 1200000, MROUND(G93,10)&lt;= 1500000),  ROUND(90000+ ABS(MROUND(G93,10)- 1200000)*0.2,0), IF(MROUND(G93,10)&gt; 1500000,  ROUND(150000+ABS(MROUND(G93,10)- 1500000)*0.3,0), 0)))))),0))))))))))))))))</f>
        <v>0</v>
      </c>
      <c r="AU93" s="6">
        <f>IF(OR(B93="2013-2014",B93="2014-2015",B93="2015-2016"),IF(AND(MROUND(G93,10)&lt;=500000,MROUND(G93,10)&lt;&gt;0),IF(AT93&lt;=2000, AT93,2000),0), IF(B93="2016-2017",IF(AND(MROUND(G93,10)&lt;=500000,MROUND(G93,10)&lt;&gt;0),IF(AT93&lt;=5000, AT93,5000),0), IF(OR(B93="2017-2018",B93="2018-2019"),IF(AND(MROUND(G93,10)&lt;=350000,MROUND(G93,10)&lt;&gt;0),IF(AT93&lt;=2500, AT93,2500),0), IF(OR(B93="2019-2020",B93="2020-2021",B93="2021-2022",B93="2022-2023",AND(B93="2023-2024",'Basic Information'!$AG$31="Yes")),IF(AND(MROUND(G93,10)&lt;=500000,MROUND(G93,10)&lt;&gt;0),IF(AT93&lt;=12500, AT93,12500),0), IF(OR(AND(B93="2023-2024",'Basic Information'!$AG$31="No")),IF(AND(MROUND(G93,10)&lt;=700000,MROUND(G93,10)&lt;&gt;0),IF(AT93&lt;=25000, AT93,25000),IF(AND(MROUND(G93,10)&lt;&gt;0,(MROUND(G93,10)-700000)&lt;=AT93),AT93-(MROUND(G93,10)-700000),0)),0)))))</f>
        <v>0</v>
      </c>
      <c r="AV93" s="6">
        <f t="shared" ref="AV93:AV101" si="5">IF((AT93&lt;AU93),0,ROUND(ABS(AT93- AU93),0))</f>
        <v>0</v>
      </c>
      <c r="AW93" s="6">
        <f t="shared" ref="AW93:AW101" si="6">IF(OR(B93="2005-2006",B93="2006-2007"),ROUND(AV93*0.02,0),IF(OR(B93="2018-2019",B93="2019-2020",B93="2020-2021",B93="2021-2022",B93="2022-2023",B93="2023-2024"),ROUND(AV93*0.04,0),ROUND(AV93*0.03,0)))</f>
        <v>0</v>
      </c>
      <c r="AX93" s="6">
        <f>IF( AND(OR(B93="2005-2006",B93="2006-2007"),$U$22&lt;&gt;"Female"),IF( MROUND(S93,10)&lt;= 100000, 0, IF(AND(MROUND(S93,10)&gt; 100000,MROUND(S93,10)&lt;= 150000),  ROUND(ABS(MROUND(S93,10)- 100000)*0.1,0), IF(AND(MROUND(S93,10)&gt; 150000, MROUND(S93,10)&lt;= 250000), ROUND(5000+ ABS(MROUND(S93,10)- 150000)*0.2,0),IF(MROUND(S93,10)&gt; 250000,  ROUND(25000+ABS(MROUND(S93,10)- 250000)*0.3,0),  0)))),IF(AND(OR(B93="2005-2006",B93="2006-2007"),$U$22="Female"),IF(MROUND(S93,10)&lt;= 135000, 0, IF(AND(MROUND(S93,10)&gt; 135000, MROUND(S93,10)&lt;= 150000), ROUND(ABS(MROUND(S93,10)- 135000)*0.1,0), IF(AND(MROUND(S93,10)&gt; 150000, MROUND(S93,10)&lt;= 250000), ROUND(1500+ ABS(MROUND(S93,10)- 150000)*0.2,0),  IF(MROUND(S93,10)&gt; 250000, ROUND(21500+ABS(MROUND(S93,10)- 250000)*0.3,0),0)))),IF(AND(B93="2007-2008",$U$22&lt;&gt;"Female"), IF(MROUND(S93,10)&lt;= 110000,  0,  IF(AND(MROUND(S93,10)&gt; 110000, MROUND(S93,10)&lt;= 150000),     ROUND(ABS(MROUND(S93,10)- 110000)*0.1,0),  IF(AND(MROUND(S93,10)&gt; 150000, MROUND(S93,10)&lt;= 250000),  ROUND(4000+ ABS(MROUND(S93,10)- 150000)*0.2,0),   IF(MROUND(S93,10)&gt; 250000,   ROUND(24000+ABS(MROUND(S93,10)- 250000)*0.3,0),0)))),IF(AND(B93="2007-2008",$U$22="Female"), IF(MROUND(S93,10)&lt;= 145000, 0, IF(AND(MROUND(S93,10)&gt; 145000, MROUND(S93,10)&lt;= 150000),     ROUND(ABS(MROUND(S93,10)- 145000)*0.1,0),  IF(AND(MROUND(S93,10)&gt; 150000, MROUND(S93,10)&lt;= 250000),  ROUND(500+ ABS(MROUND(S93,10)- 150000)*0.2,0),  IF(MROUND(S93,10)&gt; 250000, ROUND(20500+ABS(MROUND(S93,10)- 250000)*0.3,0),0)))), IF(AND(B93="2008-2009",$U$22&lt;&gt;"Female"), IF(MROUND(S93,10)&lt;= 150000, 0, IF(AND(MROUND(S93,10)&gt; 150000, MROUND(S93,10)&lt;= 300000), ROUND(ABS(MROUND(S93,10)- 150000)*0.1,0), IF(AND(MROUND(S93,10)&gt; 300000, MROUND(S93,10)&lt;= 500000),  ROUND(15000+ ABS(MROUND(S93,10)- 300000)*0.2,0),  IF(MROUND(S93,10)&gt; 500000,  ROUND(55000+ABS(MROUND(S93,10)- 500000)*0.3,0),0)))), IF(AND(B93="2008-2009",$U$22="Female"), IF(MROUND(S93,10)&lt;= 180000, 0, IF(AND(MROUND(S93,10)&gt; 180000, MROUND(S93,10)&lt;= 300000), ROUND(ABS(MROUND(S93,10)- 180000)*0.1,0), IF(AND(MROUND(S93,10)&gt; 300000, MROUND(S93,10)&lt;= 500000), ROUND(12000+ ABS(MROUND(S93,10)- 300000)*0.2,0),  IF(MROUND(S93,10)&gt; 500000,  ROUND(52000+ABS(MROUND(S93,10)- 500000)*0.3,0),0)))), IF(AND(B93="2009-2010", $U$22&lt;&gt;"Female"), IF(MROUND(S93,10)&lt;= 160000, 0, IF(AND(MROUND(S93,10)&gt; 160000, MROUND(S93,10)&lt;= 300000),ROUND(ABS(MROUND(S93,10)- 160000)*0.1,0), IF(AND(MROUND(S93,10)&gt; 300000, MROUND(S93,10)&lt;= 500000),ROUND(14000+ ABS(MROUND(S93,10)- 300000)*0.2,0),  IF(MROUND(S93,10)&gt; 500000, ROUND(54000+ABS(MROUND(S93,10)- 500000)*0.3,0),0)))),IF(AND(B93="2009-2010",$U$22="Female"), IF(MROUND(S93,10)&lt;= 190000, 0, IF(AND(MROUND(S93,10)&gt; 190000, MROUND(S93,10)&lt;= 300000),ROUND(ABS(MROUND(S93,10)- 190000)*0.1,0), IF(AND(MROUND(S93,10)&gt; 300000, MROUND(S93,10)&lt;= 500000), ROUND(11000+ ABS(MROUND(S93,10)- 300000)*0.2,0),IF(MROUND(S93,10)&gt; 500000,  ROUND(51000+ABS(MROUND(S93,10)- 500000)*0.3,0),0)))), IF(AND(B93="2010-2011",$U$22&lt;&gt;"Female"), IF(MROUND(S93,10)&lt;= 160000, 0, IF(AND(MROUND(S93,10)&gt; 160000, MROUND(S93,10)&lt;= 500000), ROUND(ABS(MROUND(S93,10)- 160000)*0.1,0), IF(AND(MROUND(S93,10)&gt; 500000, MROUND(S93,10)&lt;= 800000), ROUND(34000+ ABS(MROUND(S93,10)- 500000)*0.2,0),  IF(MROUND(S93,10)&gt; 800000,  ROUND(94000+ABS(MROUND(S93,10)- 800000)*0.3,0),0)))), IF(AND(OR(B93="2010-2011",B93="2011-2012"),$U$22="Female"), IF(MROUND(S93,10)&lt;= 190000, 0, IF(AND(MROUND(S93,10)&gt; 190000, MROUND(S93,10)&lt;= 500000), ROUND(ABS(MROUND(S93,10)- 190000)*0.1,0), IF(AND(MROUND(S93,10)&gt; 500000, MROUND(S93,10)&lt;= 800000),  ROUND(31000+ ABS(MROUND(S93,10)- 500000)*0.2,0),  IF(MROUND(S93,10)&gt; 800000,  ROUND(91000+ABS(MROUND(S93,10)- 800000)*0.3,0),0)))), IF(AND(B93="2011-2012", $U$22&lt;&gt;"Female"), IF(MROUND(S93,10)&lt;= 180000, 0, IF(AND(MROUND(S93,10)&gt; 180000, MROUND(S93,10)&lt;= 500000), ROUND(ABS(MROUND(S93,10)- 180000)*0.1,0), IF(AND(MROUND(S93,10)&gt; 500000, MROUND(S93,10)&lt;= 800000),  ROUND(32000+ ABS(MROUND(S93,10)- 500000)*0.2,0),  IF(MROUND(S93,10)&gt; 800000,  ROUND(92000+ABS(MROUND(S93,10)- 800000)*0.3,0),0)))), IF(OR(B93="2012-2013",B93="2013-2014"), IF(MROUND(S93,10)&lt;= 200000, 0, IF(AND(MROUND(S93,10)&gt; 200000, MROUND(S93,10)&lt;= 500000), ROUND(ABS(MROUND(S93,10)- 200000)*0.1,0), IF(AND(MROUND(S93,10)&gt; 500000, MROUND(S93,10)&lt;= 1000000),  ROUND(30000+ ABS(MROUND(S93,10)- 500000)*0.2,0),  IF(MROUND(S93,10)&gt; 1000000,  ROUND(130000+ABS(MROUND(S93,10)- 1000000)*0.3,0),0)))), IF(OR(B93="2014-2015", B93="2015-2016",B93="2016-2017"), IF(MROUND(S93,10)&lt;= 250000, 0, IF(AND(MROUND(S93,10)&gt; 250000, MROUND(S93,10)&lt;= 500000), ROUND(ABS(MROUND(S93,10)- 250000)*0.1,0), IF(AND(MROUND(S93,10)&gt; 500000, MROUND(S93,10)&lt;= 1000000),  ROUND(25000+ ABS(MROUND(S93,10)- 500000)*0.2,0),  IF(MROUND(S93,10)&gt; 1000000,  ROUND(125000+ABS(MROUND(S93,10)- 1000000)*0.3,0), 0)))),IF(OR(B93="2017-2018",B93="2018-2019",B93="2019-2020",AND(B93="2020-2021",'Basic Information'!$AG$22="No"),AND(B93="2021-2022",'Basic Information'!$AG$25="No"),AND(B93="2022-2023",'Basic Information'!$AG$28="No"),AND(B93="2023-2024",'Basic Information'!$AG$31="Yes")), IF(MROUND(S93,10)&lt;= 250000, 0, IF(AND(MROUND(S93,10)&gt; 250000, MROUND(S93,10)&lt;= 500000), ROUND(ABS(MROUND(S93,10)- 250000)*0.05,0), IF(AND(MROUND(S93,10)&gt; 500000, MROUND(S93,10)&lt;= 1000000),  ROUND(12500+ ABS(MROUND(S93,10)- 500000)*0.2,0),  IF(MROUND(S93,10)&gt; 1000000,  ROUND(112500+ABS(MROUND(S93,10)- 1000000)*0.3,0), 0)))),IF(OR(AND(B93="2020-2021",'Basic Information'!$AG$22="Yes"),AND(B93="2021-2022",'Basic Information'!$AG$25="Yes"),AND(B93="2022-2023",'Basic Information'!$AG$28="Yes")), IF(MROUND(S93,10)&lt;= 250000, 0, IF(AND(MROUND(S93,10)&gt; 250000, MROUND(S93,10)&lt;= 500000), ROUND(ABS(MROUND(S93,10)- 250000)*0.05,0), IF(AND(MROUND(S93,10)&gt; 500000, MROUND(S93,10)&lt;= 750000),  ROUND(12500+ ABS(MROUND(S93,10)- 500000)*0.1,0), IF(AND(MROUND(S93,10)&gt; 750000, MROUND(S93,10)&lt;= 1000000),  ROUND(37500+ ABS(MROUND(S93,10)- 750000)*0.15,0),IF(AND(MROUND(S93,10)&gt; 1000000, MROUND(S93,10)&lt;= 1250000),  ROUND(75000+ ABS(MROUND(S93,10)- 1000000)*0.2,0),IF(AND(MROUND(S93,10)&gt; 1250000, MROUND(S93,10)&lt;= 1500000),  ROUND(125000+ ABS(MROUND(S93,10)- 1250000)*0.25,0), IF(MROUND(S93,10)&gt; 1500000,  ROUND(187500+ABS(MROUND(S93,10)- 1500000)*0.3,0), 0))))))),IF(AND(B93="2023-2024",'Basic Information'!$AG$31="No"), IF(MROUND(S93,10)&lt;= 300000, 0, IF(AND(MROUND(S93,10)&gt; 300000, MROUND(S93,10)&lt;= 600000), ROUND(ABS(MROUND(S93,10)- 300000)*0.05,0), IF(AND(MROUND(S93,10)&gt; 600000, MROUND(S93,10)&lt;= 900000),  ROUND(15000+ ABS(MROUND(S93,10)- 600000)*0.1,0), IF(AND(MROUND(S93,10)&gt; 900000, MROUND(S93,10)&lt;= 1200000),  ROUND(45000+ ABS(MROUND(S93,10)- 900000)*0.15,0),IF(AND(MROUND(S93,10)&gt; 1200000, MROUND(S93,10)&lt;= 1500000),  ROUND(90000+ ABS(MROUND(S93,10)- 1200000)*0.2,0), IF(MROUND(S93,10)&gt; 1500000,  ROUND(150000+ABS(MROUND(S93,10)- 1500000)*0.3,0), 0)))))),0))))))))))))))))</f>
        <v>0</v>
      </c>
      <c r="AY93" s="6">
        <f>IF(OR(B93="2013-2014",B93="2014-2015",B93="2015-2016"),IF(AND(MROUND(S93,10)&lt;=500000,MROUND(S93,10)&lt;&gt;0),IF(AX93&lt;=2000, AX93,2000),0), IF(B93="2016-2017",IF(AND(MROUND(S93,10)&lt;=500000,MROUND(S93,10)&lt;&gt;0),IF(AX93&lt;=5000, AX93,5000),0), IF(OR(B93="2017-2018",B93="2018-2019"),IF(AND(MROUND(S93,10)&lt;=350000,MROUND(S93,10)&lt;&gt;0),IF(AX93&lt;=2500, AX93,2500),0), IF(OR(B93="2019-2020",B93="2020-2021",B93="2021-2022",B93="2022-2023",AND(B93="2023-2024",'Basic Information'!$AG$31="Yes")),IF(AND(MROUND(S93,10)&lt;=500000,MROUND(S93,10)&lt;&gt;0),IF(AX93&lt;=12500, AX93,12500),0), IF(OR(AND(B93="2023-2024",'Basic Information'!$AG$31="No")),IF(AND(MROUND(S93,10)&lt;=700000,MROUND(S93,10)&lt;&gt;0),IF(AX93&lt;=25000, AX93,25000),IF(AND(MROUND(S93,10)&lt;&gt;0,(MROUND(S93,10)-700000)&lt;= AX93), AX93-(MROUND(S93,10)-700000),0)),0)))))</f>
        <v>0</v>
      </c>
      <c r="AZ93" s="6">
        <f t="shared" ref="AZ93:AZ101" si="7">IF((AX93&lt;AY93),0,ROUND(ABS(AX93- AY93),0))</f>
        <v>0</v>
      </c>
      <c r="BA93" s="6">
        <f t="shared" ref="BA93:BA101" si="8">IF(OR(B93="2005-2006",B93="2006-2007"),ROUND(AZ93*0.02,0),IF(OR(B93="2018-2019",B93="2019-2020",B93="2020-2021",B93="2021-2022",B93="2022-2023",B93="2023-2024"),ROUND(AZ93*0.04,0),ROUND(AZ93*0.03,0)))</f>
        <v>0</v>
      </c>
    </row>
    <row r="94" spans="2:53" x14ac:dyDescent="0.3">
      <c r="B94" s="536" t="str">
        <f>IF(ISBLANK('Form 10E - Old Scheme'!B94),"",'Form 10E - Old Scheme'!B94)</f>
        <v/>
      </c>
      <c r="C94" s="537"/>
      <c r="D94" s="537"/>
      <c r="E94" s="537"/>
      <c r="F94" s="538"/>
      <c r="G94" s="335">
        <f>IF(ISNUMBER('Form 10E - Old Scheme'!G94),'Form 10E - Old Scheme'!G94,0)</f>
        <v>0</v>
      </c>
      <c r="H94" s="336"/>
      <c r="I94" s="336"/>
      <c r="J94" s="336"/>
      <c r="K94" s="336"/>
      <c r="L94" s="337"/>
      <c r="M94" s="335">
        <f>IF(ISNUMBER('Form 10E - Old Scheme'!M94),'Form 10E - Old Scheme'!M94,0)</f>
        <v>0</v>
      </c>
      <c r="N94" s="336"/>
      <c r="O94" s="336"/>
      <c r="P94" s="336"/>
      <c r="Q94" s="336"/>
      <c r="R94" s="337"/>
      <c r="S94" s="335">
        <f t="shared" si="2"/>
        <v>0</v>
      </c>
      <c r="T94" s="336"/>
      <c r="U94" s="336"/>
      <c r="V94" s="336"/>
      <c r="W94" s="336"/>
      <c r="X94" s="337"/>
      <c r="Y94" s="335">
        <f t="shared" si="3"/>
        <v>0</v>
      </c>
      <c r="Z94" s="336"/>
      <c r="AA94" s="336"/>
      <c r="AB94" s="336"/>
      <c r="AC94" s="336"/>
      <c r="AD94" s="337"/>
      <c r="AE94" s="335">
        <f t="shared" si="4"/>
        <v>0</v>
      </c>
      <c r="AF94" s="336"/>
      <c r="AG94" s="336"/>
      <c r="AH94" s="336"/>
      <c r="AI94" s="336"/>
      <c r="AJ94" s="338"/>
      <c r="AK94" s="339">
        <f t="shared" si="0"/>
        <v>0</v>
      </c>
      <c r="AL94" s="340"/>
      <c r="AM94" s="340"/>
      <c r="AN94" s="340"/>
      <c r="AO94" s="340"/>
      <c r="AP94" s="341"/>
      <c r="AQ94" s="38" t="str">
        <f>IF(AND(OR(NOT(ISBLANK(G94)),NOT(ISBLANK(M94))),OR(ISBLANK(B94),B94="Select")),"Please select a Financial Year","")</f>
        <v/>
      </c>
      <c r="AT94" s="6">
        <f>IF( AND(OR(B94="2005-2006",B94="2006-2007"),$U$22&lt;&gt;"Female"),IF( MROUND(G94,10)&lt;= 100000, 0, IF(AND(MROUND(G94,10)&gt; 100000,MROUND(G94,10)&lt;= 150000),  ROUND(ABS(MROUND(G94,10)- 100000)*0.1,0), IF(AND(MROUND(G94,10)&gt; 150000, MROUND(G94,10)&lt;= 250000), ROUND(5000+ ABS(MROUND(G94,10)- 150000)*0.2,0),IF(MROUND(G94,10)&gt; 250000,  ROUND(25000+ABS(MROUND(G94,10)- 250000)*0.3,0),  0)))),IF(AND(OR(B94="2005-2006",B94="2006-2007"),$U$22="Female"),IF(MROUND(G94,10)&lt;= 135000, 0, IF(AND(MROUND(G94,10)&gt; 135000, MROUND(G94,10)&lt;= 150000), ROUND(ABS(MROUND(G94,10)- 135000)*0.1,0), IF(AND(MROUND(G94,10)&gt; 150000, MROUND(G94,10)&lt;= 250000), ROUND(1500+ ABS(MROUND(G94,10)- 150000)*0.2,0),  IF(MROUND(G94,10)&gt; 250000, ROUND(21500+ABS(MROUND(G94,10)- 250000)*0.3,0),0)))),IF(AND(B94="2007-2008",$U$22&lt;&gt;"Female"), IF(MROUND(G94,10)&lt;= 110000,  0,  IF(AND(MROUND(G94,10)&gt; 110000, MROUND(G94,10)&lt;= 150000), ROUND(ABS(MROUND(G94,10)- 110000)*0.1,0),  IF(AND(MROUND(G94,10)&gt; 150000, MROUND(G94,10)&lt;= 250000),  ROUND(4000+ ABS(MROUND(G94,10)- 150000)*0.2,0),   IF(MROUND(G94,10)&gt; 250000,   ROUND(24000+ABS(MROUND(G94,10)- 250000)*0.3,0),0)))),IF(AND(B94="2007-2008",$U$22="Female"), IF(MROUND(G94,10)&lt;= 145000, 0, IF(AND(MROUND(G94,10)&gt; 145000, MROUND(G94,10)&lt;= 150000),     ROUND(ABS(MROUND(G94,10)- 145000)*0.1,0),  IF(AND(MROUND(G94,10)&gt; 150000, MROUND(G94,10)&lt;= 250000),  ROUND(500+ ABS(MROUND(G94,10)- 150000)*0.2,0),  IF(MROUND(G94,10)&gt; 250000, ROUND(20500+ABS(MROUND(G94,10)- 250000)*0.3,0),0)))), IF(AND(B94="2008-2009",$U$22&lt;&gt;"Female"), IF(MROUND(G94,10)&lt;= 150000, 0, IF(AND(MROUND(G94,10)&gt; 150000, MROUND(G94,10)&lt;= 300000), ROUND(ABS(MROUND(G94,10)- 150000)*0.1,0), IF(AND(MROUND(G94,10)&gt; 300000, MROUND(G94,10)&lt;= 500000),  ROUND(15000+ ABS(MROUND(G94,10)- 300000)*0.2,0),  IF(MROUND(G94,10)&gt; 500000,  ROUND(55000+ABS(MROUND(G94,10)- 500000)*0.3,0),0)))), IF(AND(B94="2008-2009",$U$22="Female"), IF(MROUND(G94,10)&lt;= 180000, 0, IF(AND(MROUND(G94,10)&gt; 180000, MROUND(G94,10)&lt;= 300000), ROUND(ABS(MROUND(G94,10)- 180000)*0.1,0), IF(AND(MROUND(G94,10)&gt; 300000, MROUND(G94,10)&lt;= 500000), ROUND(12000+ ABS(MROUND(G94,10)- 300000)*0.2,0),  IF(MROUND(G94,10)&gt; 500000,  ROUND(52000+ABS(MROUND(G94,10)- 500000)*0.3,0),0)))), IF(AND(B94="2009-2010", $U$22&lt;&gt;"Female"), IF(MROUND(G94,10)&lt;= 160000, 0, IF(AND(MROUND(G94,10)&gt; 160000, MROUND(G94,10)&lt;= 300000),ROUND(ABS(MROUND(G94,10)- 160000)*0.1,0), IF(AND(MROUND(G94,10)&gt; 300000, MROUND(G94,10)&lt;= 500000),ROUND(14000+ ABS(MROUND(G94,10)- 300000)*0.2,0),  IF(MROUND(G94,10)&gt; 500000, ROUND(54000+ABS(MROUND(G94,10)- 500000)*0.3,0),0)))),IF(AND(B94="2009-2010",$U$22="Female"), IF(MROUND(G94,10)&lt;= 190000, 0, IF(AND(MROUND(G94,10)&gt; 190000, MROUND(G94,10)&lt;= 300000),ROUND(ABS(MROUND(G94,10)- 190000)*0.1,0), IF(AND(MROUND(G94,10)&gt; 300000, MROUND(G94,10)&lt;= 500000), ROUND(11000+ ABS(MROUND(G94,10)- 300000)*0.2,0),IF(MROUND(G94,10)&gt; 500000,  ROUND(51000+ABS(MROUND(G94,10)- 500000)*0.3,0),0)))), IF(AND(B94="2010-2011",$U$22&lt;&gt;"Female"), IF(MROUND(G94,10)&lt;= 160000, 0, IF(AND(MROUND(G94,10)&gt; 160000, MROUND(G94,10)&lt;= 500000), ROUND(ABS(MROUND(G94,10)- 160000)*0.1,0), IF(AND(MROUND(G94,10)&gt; 500000, MROUND(G94,10)&lt;= 800000), ROUND(34000+ ABS(MROUND(G94,10)- 500000)*0.2,0),  IF(MROUND(G94,10)&gt; 800000,  ROUND(94000+ABS(MROUND(G94,10)- 800000)*0.3,0),0)))), IF(AND(OR(B94="2010-2011",B94="2011-2012"),$U$22="Female"), IF(MROUND(G94,10)&lt;= 190000, 0, IF(AND(MROUND(G94,10)&gt; 190000, MROUND(G94,10)&lt;= 500000), ROUND(ABS(MROUND(G94,10)- 190000)*0.1,0), IF(AND(MROUND(G94,10)&gt; 500000, MROUND(G94,10)&lt;= 800000),  ROUND(31000+ ABS(MROUND(G94,10)- 500000)*0.2,0),  IF(MROUND(G94,10)&gt; 800000,  ROUND(91000+ABS(MROUND(G94,10)- 800000)*0.3,0),0)))), IF(AND(B94="2011-2012", $U$22&lt;&gt;"Female"), IF(MROUND(G94,10)&lt;= 180000, 0, IF(AND(MROUND(G94,10)&gt; 180000, MROUND(G94,10)&lt;= 500000), ROUND(ABS(MROUND(G94,10)- 180000)*0.1,0), IF(AND(MROUND(G94,10)&gt; 500000, MROUND(G94,10)&lt;= 800000),  ROUND(32000+ ABS(MROUND(G94,10)- 500000)*0.2,0),  IF(MROUND(G94,10)&gt; 800000,  ROUND(92000+ABS(MROUND(G94,10)- 800000)*0.3,0),0)))), IF(OR(B94="2012-2013",B94="2013-2014"), IF(MROUND(G94,10)&lt;= 200000, 0, IF(AND(MROUND(G94,10)&gt; 200000, MROUND(G94,10)&lt;= 500000), ROUND(ABS(MROUND(G94,10)- 200000)*0.1,0), IF(AND(MROUND(G94,10)&gt; 500000, MROUND(G94,10)&lt;= 1000000),  ROUND(30000+ ABS(MROUND(G94,10)- 500000)*0.2,0),  IF(MROUND(G94,10)&gt; 1000000,  ROUND(130000+ABS(MROUND(G94,10)- 1000000)*0.3,0),0)))), IF(OR(B94="2014-2015", B94="2015-2016",B94="2016-2017"), IF(MROUND(G94,10)&lt;= 250000, 0, IF(AND(MROUND(G94,10)&gt; 250000, MROUND(G94,10)&lt;= 500000), ROUND(ABS(MROUND(G94,10)- 250000)*0.1,0), IF(AND(MROUND(G94,10)&gt; 500000, MROUND(G94,10)&lt;= 1000000),  ROUND(25000+ ABS(MROUND(G94,10)- 500000)*0.2,0),  IF(MROUND(G94,10)&gt; 1000000,  ROUND(125000+ABS(MROUND(G94,10)- 1000000)*0.3,0), 0)))), IF(OR(B94="2017-2018",B94="2018-2019",B94="2019-2020",AND(B94="2020-2021",'Basic Information'!$AG$22="No"),AND(B94="2021-2022",'Basic Information'!$AG$25="No"),AND(B94="2022-2023",'Basic Information'!$AG$28="No"),AND(B94="2023-2024",'Basic Information'!$AG$31="Yes")), IF(MROUND(G94,10)&lt;= 250000, 0, IF(AND(MROUND(G94,10)&gt; 250000, MROUND(G94,10)&lt;= 500000), ROUND(ABS(MROUND(G94,10)- 250000)*0.05,0), IF(AND(MROUND(G94,10)&gt; 500000, MROUND(G94,10)&lt;= 1000000),  ROUND(12500+ ABS(MROUND(G94,10)- 500000)*0.2,0),  IF(MROUND(G94,10)&gt; 1000000,  ROUND(112500+ABS(MROUND(G94,10)- 1000000)*0.3,0), 0)))),IF(OR(AND(B94="2020-2021",'Basic Information'!$AG$22="Yes"),AND(B94="2021-2022",'Basic Information'!$AG$25="Yes"),AND(B94="2022-2023",'Basic Information'!$AG$28="Yes")), IF(MROUND(G94,10)&lt;= 250000, 0, IF(AND(MROUND(G94,10)&gt; 250000, MROUND(G94,10)&lt;= 500000), ROUND(ABS(MROUND(G94,10)- 250000)*0.05,0), IF(AND(MROUND(G94,10)&gt; 500000, MROUND(G94,10)&lt;= 750000),  ROUND(12500+ ABS(MROUND(G94,10)- 500000)*0.1,0), IF(AND(MROUND(G94,10)&gt; 750000, MROUND(G94,10)&lt;= 1000000),  ROUND(37500+ ABS(MROUND(G94,10)- 750000)*0.15,0),IF(AND(MROUND(G94,10)&gt; 1000000, MROUND(G94,10)&lt;= 1250000),  ROUND(75000+ ABS(MROUND(G94,10)- 1000000)*0.2,0),IF(AND(MROUND(G94,10)&gt; 1250000, MROUND(G94,10)&lt;= 1500000),  ROUND(125000+ ABS(MROUND(G94,10)- 1250000)*0.25,0), IF(MROUND(G94,10)&gt; 1500000,  ROUND(187500+ABS(MROUND(G94,10)- 1500000)*0.3,0), 0))))))),IF(AND(B94="2023-2024",'Basic Information'!$AG$31="No"), IF(MROUND(G94,10)&lt;= 300000, 0, IF(AND(MROUND(G94,10)&gt; 300000, MROUND(G94,10)&lt;= 600000), ROUND(ABS(MROUND(G94,10)- 300000)*0.05,0), IF(AND(MROUND(G94,10)&gt; 600000, MROUND(G94,10)&lt;= 900000),  ROUND(15000+ ABS(MROUND(G94,10)- 600000)*0.1,0), IF(AND(MROUND(G94,10)&gt; 900000, MROUND(G94,10)&lt;= 1200000),  ROUND(45000+ ABS(MROUND(G94,10)- 900000)*0.15,0),IF(AND(MROUND(G94,10)&gt; 1200000, MROUND(G94,10)&lt;= 1500000),  ROUND(90000+ ABS(MROUND(G94,10)- 1200000)*0.2,0), IF(MROUND(G94,10)&gt; 1500000,  ROUND(150000+ABS(MROUND(G94,10)- 1500000)*0.3,0), 0)))))),0))))))))))))))))</f>
        <v>0</v>
      </c>
      <c r="AU94" s="6">
        <f>IF(OR(B94="2013-2014",B94="2014-2015",B94="2015-2016"),IF(AND(MROUND(G94,10)&lt;=500000,MROUND(G94,10)&lt;&gt;0),IF(AT94&lt;=2000, AT94,2000),0), IF(B94="2016-2017",IF(AND(MROUND(G94,10)&lt;=500000,MROUND(G94,10)&lt;&gt;0),IF(AT94&lt;=5000, AT94,5000),0), IF(OR(B94="2017-2018",B94="2018-2019"),IF(AND(MROUND(G94,10)&lt;=350000,MROUND(G94,10)&lt;&gt;0),IF(AT94&lt;=2500, AT94,2500),0), IF(OR(B94="2019-2020",B94="2020-2021",B94="2021-2022",B94="2022-2023",AND(B94="2023-2024",'Basic Information'!$AG$31="Yes")),IF(AND(MROUND(G94,10)&lt;=500000,MROUND(G94,10)&lt;&gt;0),IF(AT94&lt;=12500, AT94,12500),0), IF(OR(AND(B94="2023-2024",'Basic Information'!$AG$31="No")),IF(AND(MROUND(G94,10)&lt;=700000,MROUND(G94,10)&lt;&gt;0),IF(AT94&lt;=25000, AT94,25000),IF(AND(MROUND(G94,10)&lt;&gt;0,(MROUND(G94,10)-700000)&lt;=AT94),AT94-(MROUND(G94,10)-700000),0)),0)))))</f>
        <v>0</v>
      </c>
      <c r="AV94" s="6">
        <f t="shared" si="5"/>
        <v>0</v>
      </c>
      <c r="AW94" s="6">
        <f t="shared" si="6"/>
        <v>0</v>
      </c>
      <c r="AX94" s="6">
        <f>IF( AND(OR(B94="2005-2006",B94="2006-2007"),$U$22&lt;&gt;"Female"),IF( MROUND(S94,10)&lt;= 100000, 0, IF(AND(MROUND(S94,10)&gt; 100000,MROUND(S94,10)&lt;= 150000),  ROUND(ABS(MROUND(S94,10)- 100000)*0.1,0), IF(AND(MROUND(S94,10)&gt; 150000, MROUND(S94,10)&lt;= 250000), ROUND(5000+ ABS(MROUND(S94,10)- 150000)*0.2,0),IF(MROUND(S94,10)&gt; 250000,  ROUND(25000+ABS(MROUND(S94,10)- 250000)*0.3,0),  0)))),IF(AND(OR(B94="2005-2006",B94="2006-2007"),$U$22="Female"),IF(MROUND(S94,10)&lt;= 135000, 0, IF(AND(MROUND(S94,10)&gt; 135000, MROUND(S94,10)&lt;= 150000), ROUND(ABS(MROUND(S94,10)- 135000)*0.1,0), IF(AND(MROUND(S94,10)&gt; 150000, MROUND(S94,10)&lt;= 250000), ROUND(1500+ ABS(MROUND(S94,10)- 150000)*0.2,0),  IF(MROUND(S94,10)&gt; 250000, ROUND(21500+ABS(MROUND(S94,10)- 250000)*0.3,0),0)))),IF(AND(B94="2007-2008",$U$22&lt;&gt;"Female"), IF(MROUND(S94,10)&lt;= 110000,  0,  IF(AND(MROUND(S94,10)&gt; 110000, MROUND(S94,10)&lt;= 150000),     ROUND(ABS(MROUND(S94,10)- 110000)*0.1,0),  IF(AND(MROUND(S94,10)&gt; 150000, MROUND(S94,10)&lt;= 250000),  ROUND(4000+ ABS(MROUND(S94,10)- 150000)*0.2,0),   IF(MROUND(S94,10)&gt; 250000,   ROUND(24000+ABS(MROUND(S94,10)- 250000)*0.3,0),0)))),IF(AND(B94="2007-2008",$U$22="Female"), IF(MROUND(S94,10)&lt;= 145000, 0, IF(AND(MROUND(S94,10)&gt; 145000, MROUND(S94,10)&lt;= 150000),     ROUND(ABS(MROUND(S94,10)- 145000)*0.1,0),  IF(AND(MROUND(S94,10)&gt; 150000, MROUND(S94,10)&lt;= 250000),  ROUND(500+ ABS(MROUND(S94,10)- 150000)*0.2,0),  IF(MROUND(S94,10)&gt; 250000, ROUND(20500+ABS(MROUND(S94,10)- 250000)*0.3,0),0)))), IF(AND(B94="2008-2009",$U$22&lt;&gt;"Female"), IF(MROUND(S94,10)&lt;= 150000, 0, IF(AND(MROUND(S94,10)&gt; 150000, MROUND(S94,10)&lt;= 300000), ROUND(ABS(MROUND(S94,10)- 150000)*0.1,0), IF(AND(MROUND(S94,10)&gt; 300000, MROUND(S94,10)&lt;= 500000),  ROUND(15000+ ABS(MROUND(S94,10)- 300000)*0.2,0),  IF(MROUND(S94,10)&gt; 500000,  ROUND(55000+ABS(MROUND(S94,10)- 500000)*0.3,0),0)))), IF(AND(B94="2008-2009",$U$22="Female"), IF(MROUND(S94,10)&lt;= 180000, 0, IF(AND(MROUND(S94,10)&gt; 180000, MROUND(S94,10)&lt;= 300000), ROUND(ABS(MROUND(S94,10)- 180000)*0.1,0), IF(AND(MROUND(S94,10)&gt; 300000, MROUND(S94,10)&lt;= 500000), ROUND(12000+ ABS(MROUND(S94,10)- 300000)*0.2,0),  IF(MROUND(S94,10)&gt; 500000,  ROUND(52000+ABS(MROUND(S94,10)- 500000)*0.3,0),0)))), IF(AND(B94="2009-2010", $U$22&lt;&gt;"Female"), IF(MROUND(S94,10)&lt;= 160000, 0, IF(AND(MROUND(S94,10)&gt; 160000, MROUND(S94,10)&lt;= 300000),ROUND(ABS(MROUND(S94,10)- 160000)*0.1,0), IF(AND(MROUND(S94,10)&gt; 300000, MROUND(S94,10)&lt;= 500000),ROUND(14000+ ABS(MROUND(S94,10)- 300000)*0.2,0),  IF(MROUND(S94,10)&gt; 500000, ROUND(54000+ABS(MROUND(S94,10)- 500000)*0.3,0),0)))),IF(AND(B94="2009-2010",$U$22="Female"), IF(MROUND(S94,10)&lt;= 190000, 0, IF(AND(MROUND(S94,10)&gt; 190000, MROUND(S94,10)&lt;= 300000),ROUND(ABS(MROUND(S94,10)- 190000)*0.1,0), IF(AND(MROUND(S94,10)&gt; 300000, MROUND(S94,10)&lt;= 500000), ROUND(11000+ ABS(MROUND(S94,10)- 300000)*0.2,0),IF(MROUND(S94,10)&gt; 500000,  ROUND(51000+ABS(MROUND(S94,10)- 500000)*0.3,0),0)))), IF(AND(B94="2010-2011",$U$22&lt;&gt;"Female"), IF(MROUND(S94,10)&lt;= 160000, 0, IF(AND(MROUND(S94,10)&gt; 160000, MROUND(S94,10)&lt;= 500000), ROUND(ABS(MROUND(S94,10)- 160000)*0.1,0), IF(AND(MROUND(S94,10)&gt; 500000, MROUND(S94,10)&lt;= 800000), ROUND(34000+ ABS(MROUND(S94,10)- 500000)*0.2,0),  IF(MROUND(S94,10)&gt; 800000,  ROUND(94000+ABS(MROUND(S94,10)- 800000)*0.3,0),0)))), IF(AND(OR(B94="2010-2011",B94="2011-2012"),$U$22="Female"), IF(MROUND(S94,10)&lt;= 190000, 0, IF(AND(MROUND(S94,10)&gt; 190000, MROUND(S94,10)&lt;= 500000), ROUND(ABS(MROUND(S94,10)- 190000)*0.1,0), IF(AND(MROUND(S94,10)&gt; 500000, MROUND(S94,10)&lt;= 800000),  ROUND(31000+ ABS(MROUND(S94,10)- 500000)*0.2,0),  IF(MROUND(S94,10)&gt; 800000,  ROUND(91000+ABS(MROUND(S94,10)- 800000)*0.3,0),0)))), IF(AND(B94="2011-2012", $U$22&lt;&gt;"Female"), IF(MROUND(S94,10)&lt;= 180000, 0, IF(AND(MROUND(S94,10)&gt; 180000, MROUND(S94,10)&lt;= 500000), ROUND(ABS(MROUND(S94,10)- 180000)*0.1,0), IF(AND(MROUND(S94,10)&gt; 500000, MROUND(S94,10)&lt;= 800000),  ROUND(32000+ ABS(MROUND(S94,10)- 500000)*0.2,0),  IF(MROUND(S94,10)&gt; 800000,  ROUND(92000+ABS(MROUND(S94,10)- 800000)*0.3,0),0)))), IF(OR(B94="2012-2013",B94="2013-2014"), IF(MROUND(S94,10)&lt;= 200000, 0, IF(AND(MROUND(S94,10)&gt; 200000, MROUND(S94,10)&lt;= 500000), ROUND(ABS(MROUND(S94,10)- 200000)*0.1,0), IF(AND(MROUND(S94,10)&gt; 500000, MROUND(S94,10)&lt;= 1000000),  ROUND(30000+ ABS(MROUND(S94,10)- 500000)*0.2,0),  IF(MROUND(S94,10)&gt; 1000000,  ROUND(130000+ABS(MROUND(S94,10)- 1000000)*0.3,0),0)))), IF(OR(B94="2014-2015", B94="2015-2016",B94="2016-2017"), IF(MROUND(S94,10)&lt;= 250000, 0, IF(AND(MROUND(S94,10)&gt; 250000, MROUND(S94,10)&lt;= 500000), ROUND(ABS(MROUND(S94,10)- 250000)*0.1,0), IF(AND(MROUND(S94,10)&gt; 500000, MROUND(S94,10)&lt;= 1000000),  ROUND(25000+ ABS(MROUND(S94,10)- 500000)*0.2,0),  IF(MROUND(S94,10)&gt; 1000000,  ROUND(125000+ABS(MROUND(S94,10)- 1000000)*0.3,0), 0)))),IF(OR(B94="2017-2018",B94="2018-2019",B94="2019-2020",AND(B94="2020-2021",'Basic Information'!$AG$22="No"),AND(B94="2021-2022",'Basic Information'!$AG$25="No"),AND(B94="2022-2023",'Basic Information'!$AG$28="No"),AND(B94="2023-2024",'Basic Information'!$AG$31="Yes")), IF(MROUND(S94,10)&lt;= 250000, 0, IF(AND(MROUND(S94,10)&gt; 250000, MROUND(S94,10)&lt;= 500000), ROUND(ABS(MROUND(S94,10)- 250000)*0.05,0), IF(AND(MROUND(S94,10)&gt; 500000, MROUND(S94,10)&lt;= 1000000),  ROUND(12500+ ABS(MROUND(S94,10)- 500000)*0.2,0),  IF(MROUND(S94,10)&gt; 1000000,  ROUND(112500+ABS(MROUND(S94,10)- 1000000)*0.3,0), 0)))),IF(OR(AND(B94="2020-2021",'Basic Information'!$AG$22="Yes"),AND(B94="2021-2022",'Basic Information'!$AG$25="Yes"),AND(B94="2022-2023",'Basic Information'!$AG$28="Yes")), IF(MROUND(S94,10)&lt;= 250000, 0, IF(AND(MROUND(S94,10)&gt; 250000, MROUND(S94,10)&lt;= 500000), ROUND(ABS(MROUND(S94,10)- 250000)*0.05,0), IF(AND(MROUND(S94,10)&gt; 500000, MROUND(S94,10)&lt;= 750000),  ROUND(12500+ ABS(MROUND(S94,10)- 500000)*0.1,0), IF(AND(MROUND(S94,10)&gt; 750000, MROUND(S94,10)&lt;= 1000000),  ROUND(37500+ ABS(MROUND(S94,10)- 750000)*0.15,0),IF(AND(MROUND(S94,10)&gt; 1000000, MROUND(S94,10)&lt;= 1250000),  ROUND(75000+ ABS(MROUND(S94,10)- 1000000)*0.2,0),IF(AND(MROUND(S94,10)&gt; 1250000, MROUND(S94,10)&lt;= 1500000),  ROUND(125000+ ABS(MROUND(S94,10)- 1250000)*0.25,0), IF(MROUND(S94,10)&gt; 1500000,  ROUND(187500+ABS(MROUND(S94,10)- 1500000)*0.3,0), 0))))))),IF(AND(B94="2023-2024",'Basic Information'!$AG$31="No"), IF(MROUND(S94,10)&lt;= 300000, 0, IF(AND(MROUND(S94,10)&gt; 300000, MROUND(S94,10)&lt;= 600000), ROUND(ABS(MROUND(S94,10)- 300000)*0.05,0), IF(AND(MROUND(S94,10)&gt; 600000, MROUND(S94,10)&lt;= 900000),  ROUND(15000+ ABS(MROUND(S94,10)- 600000)*0.1,0), IF(AND(MROUND(S94,10)&gt; 900000, MROUND(S94,10)&lt;= 1200000),  ROUND(45000+ ABS(MROUND(S94,10)- 900000)*0.15,0),IF(AND(MROUND(S94,10)&gt; 1200000, MROUND(S94,10)&lt;= 1500000),  ROUND(90000+ ABS(MROUND(S94,10)- 1200000)*0.2,0), IF(MROUND(S94,10)&gt; 1500000,  ROUND(150000+ABS(MROUND(S94,10)- 1500000)*0.3,0), 0)))))),0))))))))))))))))</f>
        <v>0</v>
      </c>
      <c r="AY94" s="6">
        <f>IF(OR(B94="2013-2014",B94="2014-2015",B94="2015-2016"),IF(AND(MROUND(S94,10)&lt;=500000,MROUND(S94,10)&lt;&gt;0),IF(AX94&lt;=2000, AX94,2000),0), IF(B94="2016-2017",IF(AND(MROUND(S94,10)&lt;=500000,MROUND(S94,10)&lt;&gt;0),IF(AX94&lt;=5000, AX94,5000),0), IF(OR(B94="2017-2018",B94="2018-2019"),IF(AND(MROUND(S94,10)&lt;=350000,MROUND(S94,10)&lt;&gt;0),IF(AX94&lt;=2500, AX94,2500),0), IF(OR(B94="2019-2020",B94="2020-2021",B94="2021-2022",B94="2022-2023",AND(B94="2023-2024",'Basic Information'!$AG$31="Yes")),IF(AND(MROUND(S94,10)&lt;=500000,MROUND(S94,10)&lt;&gt;0),IF(AX94&lt;=12500, AX94,12500),0), IF(OR(AND(B94="2023-2024",'Basic Information'!$AG$31="No")),IF(AND(MROUND(S94,10)&lt;=700000,MROUND(S94,10)&lt;&gt;0),IF(AX94&lt;=25000, AX94,25000),IF(AND(MROUND(S94,10)&lt;&gt;0,(MROUND(S94,10)-700000)&lt;= AX94), AX94-(MROUND(S94,10)-700000),0)),0)))))</f>
        <v>0</v>
      </c>
      <c r="AZ94" s="6">
        <f t="shared" si="7"/>
        <v>0</v>
      </c>
      <c r="BA94" s="6">
        <f t="shared" si="8"/>
        <v>0</v>
      </c>
    </row>
    <row r="95" spans="2:53" x14ac:dyDescent="0.3">
      <c r="B95" s="536" t="str">
        <f>IF(ISBLANK('Form 10E - Old Scheme'!B95),"",'Form 10E - Old Scheme'!B95)</f>
        <v/>
      </c>
      <c r="C95" s="537"/>
      <c r="D95" s="537"/>
      <c r="E95" s="537"/>
      <c r="F95" s="538"/>
      <c r="G95" s="335">
        <f>IF(ISNUMBER('Form 10E - Old Scheme'!G95),'Form 10E - Old Scheme'!G95,0)</f>
        <v>0</v>
      </c>
      <c r="H95" s="336"/>
      <c r="I95" s="336"/>
      <c r="J95" s="336"/>
      <c r="K95" s="336"/>
      <c r="L95" s="337"/>
      <c r="M95" s="335">
        <f>IF(ISNUMBER('Form 10E - Old Scheme'!M95),'Form 10E - Old Scheme'!M95,0)</f>
        <v>0</v>
      </c>
      <c r="N95" s="336"/>
      <c r="O95" s="336"/>
      <c r="P95" s="336"/>
      <c r="Q95" s="336"/>
      <c r="R95" s="337"/>
      <c r="S95" s="335">
        <f t="shared" si="2"/>
        <v>0</v>
      </c>
      <c r="T95" s="336"/>
      <c r="U95" s="336"/>
      <c r="V95" s="336"/>
      <c r="W95" s="336"/>
      <c r="X95" s="337"/>
      <c r="Y95" s="335">
        <f t="shared" si="3"/>
        <v>0</v>
      </c>
      <c r="Z95" s="336"/>
      <c r="AA95" s="336"/>
      <c r="AB95" s="336"/>
      <c r="AC95" s="336"/>
      <c r="AD95" s="337"/>
      <c r="AE95" s="335">
        <f t="shared" si="4"/>
        <v>0</v>
      </c>
      <c r="AF95" s="336"/>
      <c r="AG95" s="336"/>
      <c r="AH95" s="336"/>
      <c r="AI95" s="336"/>
      <c r="AJ95" s="338"/>
      <c r="AK95" s="339">
        <f t="shared" si="0"/>
        <v>0</v>
      </c>
      <c r="AL95" s="340"/>
      <c r="AM95" s="340"/>
      <c r="AN95" s="340"/>
      <c r="AO95" s="340"/>
      <c r="AP95" s="341"/>
      <c r="AQ95" s="38" t="str">
        <f t="shared" ref="AQ95:AQ101" si="9">IF(AND(OR(NOT(ISBLANK(G95)),NOT(ISBLANK(M95))),OR(ISBLANK(B95),B95="Select")),"Please select a Financial Year","")</f>
        <v/>
      </c>
      <c r="AT95" s="6">
        <f>IF( AND(OR(B95="2005-2006",B95="2006-2007"),$U$22&lt;&gt;"Female"),IF( MROUND(G95,10)&lt;= 100000, 0, IF(AND(MROUND(G95,10)&gt; 100000,MROUND(G95,10)&lt;= 150000),  ROUND(ABS(MROUND(G95,10)- 100000)*0.1,0), IF(AND(MROUND(G95,10)&gt; 150000, MROUND(G95,10)&lt;= 250000), ROUND(5000+ ABS(MROUND(G95,10)- 150000)*0.2,0),IF(MROUND(G95,10)&gt; 250000,  ROUND(25000+ABS(MROUND(G95,10)- 250000)*0.3,0),  0)))),IF(AND(OR(B95="2005-2006",B95="2006-2007"),$U$22="Female"),IF(MROUND(G95,10)&lt;= 135000, 0, IF(AND(MROUND(G95,10)&gt; 135000, MROUND(G95,10)&lt;= 150000), ROUND(ABS(MROUND(G95,10)- 135000)*0.1,0), IF(AND(MROUND(G95,10)&gt; 150000, MROUND(G95,10)&lt;= 250000), ROUND(1500+ ABS(MROUND(G95,10)- 150000)*0.2,0),  IF(MROUND(G95,10)&gt; 250000, ROUND(21500+ABS(MROUND(G95,10)- 250000)*0.3,0),0)))),IF(AND(B95="2007-2008",$U$22&lt;&gt;"Female"), IF(MROUND(G95,10)&lt;= 110000,  0,  IF(AND(MROUND(G95,10)&gt; 110000, MROUND(G95,10)&lt;= 150000), ROUND(ABS(MROUND(G95,10)- 110000)*0.1,0),  IF(AND(MROUND(G95,10)&gt; 150000, MROUND(G95,10)&lt;= 250000),  ROUND(4000+ ABS(MROUND(G95,10)- 150000)*0.2,0),   IF(MROUND(G95,10)&gt; 250000,   ROUND(24000+ABS(MROUND(G95,10)- 250000)*0.3,0),0)))),IF(AND(B95="2007-2008",$U$22="Female"), IF(MROUND(G95,10)&lt;= 145000, 0, IF(AND(MROUND(G95,10)&gt; 145000, MROUND(G95,10)&lt;= 150000),     ROUND(ABS(MROUND(G95,10)- 145000)*0.1,0),  IF(AND(MROUND(G95,10)&gt; 150000, MROUND(G95,10)&lt;= 250000),  ROUND(500+ ABS(MROUND(G95,10)- 150000)*0.2,0),  IF(MROUND(G95,10)&gt; 250000, ROUND(20500+ABS(MROUND(G95,10)- 250000)*0.3,0),0)))), IF(AND(B95="2008-2009",$U$22&lt;&gt;"Female"), IF(MROUND(G95,10)&lt;= 150000, 0, IF(AND(MROUND(G95,10)&gt; 150000, MROUND(G95,10)&lt;= 300000), ROUND(ABS(MROUND(G95,10)- 150000)*0.1,0), IF(AND(MROUND(G95,10)&gt; 300000, MROUND(G95,10)&lt;= 500000),  ROUND(15000+ ABS(MROUND(G95,10)- 300000)*0.2,0),  IF(MROUND(G95,10)&gt; 500000,  ROUND(55000+ABS(MROUND(G95,10)- 500000)*0.3,0),0)))), IF(AND(B95="2008-2009",$U$22="Female"), IF(MROUND(G95,10)&lt;= 180000, 0, IF(AND(MROUND(G95,10)&gt; 180000, MROUND(G95,10)&lt;= 300000), ROUND(ABS(MROUND(G95,10)- 180000)*0.1,0), IF(AND(MROUND(G95,10)&gt; 300000, MROUND(G95,10)&lt;= 500000), ROUND(12000+ ABS(MROUND(G95,10)- 300000)*0.2,0),  IF(MROUND(G95,10)&gt; 500000,  ROUND(52000+ABS(MROUND(G95,10)- 500000)*0.3,0),0)))), IF(AND(B95="2009-2010", $U$22&lt;&gt;"Female"), IF(MROUND(G95,10)&lt;= 160000, 0, IF(AND(MROUND(G95,10)&gt; 160000, MROUND(G95,10)&lt;= 300000),ROUND(ABS(MROUND(G95,10)- 160000)*0.1,0), IF(AND(MROUND(G95,10)&gt; 300000, MROUND(G95,10)&lt;= 500000),ROUND(14000+ ABS(MROUND(G95,10)- 300000)*0.2,0),  IF(MROUND(G95,10)&gt; 500000, ROUND(54000+ABS(MROUND(G95,10)- 500000)*0.3,0),0)))),IF(AND(B95="2009-2010",$U$22="Female"), IF(MROUND(G95,10)&lt;= 190000, 0, IF(AND(MROUND(G95,10)&gt; 190000, MROUND(G95,10)&lt;= 300000),ROUND(ABS(MROUND(G95,10)- 190000)*0.1,0), IF(AND(MROUND(G95,10)&gt; 300000, MROUND(G95,10)&lt;= 500000), ROUND(11000+ ABS(MROUND(G95,10)- 300000)*0.2,0),IF(MROUND(G95,10)&gt; 500000,  ROUND(51000+ABS(MROUND(G95,10)- 500000)*0.3,0),0)))), IF(AND(B95="2010-2011",$U$22&lt;&gt;"Female"), IF(MROUND(G95,10)&lt;= 160000, 0, IF(AND(MROUND(G95,10)&gt; 160000, MROUND(G95,10)&lt;= 500000), ROUND(ABS(MROUND(G95,10)- 160000)*0.1,0), IF(AND(MROUND(G95,10)&gt; 500000, MROUND(G95,10)&lt;= 800000), ROUND(34000+ ABS(MROUND(G95,10)- 500000)*0.2,0),  IF(MROUND(G95,10)&gt; 800000,  ROUND(94000+ABS(MROUND(G95,10)- 800000)*0.3,0),0)))), IF(AND(OR(B95="2010-2011",B95="2011-2012"),$U$22="Female"), IF(MROUND(G95,10)&lt;= 190000, 0, IF(AND(MROUND(G95,10)&gt; 190000, MROUND(G95,10)&lt;= 500000), ROUND(ABS(MROUND(G95,10)- 190000)*0.1,0), IF(AND(MROUND(G95,10)&gt; 500000, MROUND(G95,10)&lt;= 800000),  ROUND(31000+ ABS(MROUND(G95,10)- 500000)*0.2,0),  IF(MROUND(G95,10)&gt; 800000,  ROUND(91000+ABS(MROUND(G95,10)- 800000)*0.3,0),0)))), IF(AND(B95="2011-2012", $U$22&lt;&gt;"Female"), IF(MROUND(G95,10)&lt;= 180000, 0, IF(AND(MROUND(G95,10)&gt; 180000, MROUND(G95,10)&lt;= 500000), ROUND(ABS(MROUND(G95,10)- 180000)*0.1,0), IF(AND(MROUND(G95,10)&gt; 500000, MROUND(G95,10)&lt;= 800000),  ROUND(32000+ ABS(MROUND(G95,10)- 500000)*0.2,0),  IF(MROUND(G95,10)&gt; 800000,  ROUND(92000+ABS(MROUND(G95,10)- 800000)*0.3,0),0)))), IF(OR(B95="2012-2013",B95="2013-2014"), IF(MROUND(G95,10)&lt;= 200000, 0, IF(AND(MROUND(G95,10)&gt; 200000, MROUND(G95,10)&lt;= 500000), ROUND(ABS(MROUND(G95,10)- 200000)*0.1,0), IF(AND(MROUND(G95,10)&gt; 500000, MROUND(G95,10)&lt;= 1000000),  ROUND(30000+ ABS(MROUND(G95,10)- 500000)*0.2,0),  IF(MROUND(G95,10)&gt; 1000000,  ROUND(130000+ABS(MROUND(G95,10)- 1000000)*0.3,0),0)))), IF(OR(B95="2014-2015", B95="2015-2016",B95="2016-2017"), IF(MROUND(G95,10)&lt;= 250000, 0, IF(AND(MROUND(G95,10)&gt; 250000, MROUND(G95,10)&lt;= 500000), ROUND(ABS(MROUND(G95,10)- 250000)*0.1,0), IF(AND(MROUND(G95,10)&gt; 500000, MROUND(G95,10)&lt;= 1000000),  ROUND(25000+ ABS(MROUND(G95,10)- 500000)*0.2,0),  IF(MROUND(G95,10)&gt; 1000000,  ROUND(125000+ABS(MROUND(G95,10)- 1000000)*0.3,0), 0)))), IF(OR(B95="2017-2018",B95="2018-2019",B95="2019-2020",AND(B95="2020-2021",'Basic Information'!$AG$22="No"),AND(B95="2021-2022",'Basic Information'!$AG$25="No"),AND(B95="2022-2023",'Basic Information'!$AG$28="No"),AND(B95="2023-2024",'Basic Information'!$AG$31="Yes")), IF(MROUND(G95,10)&lt;= 250000, 0, IF(AND(MROUND(G95,10)&gt; 250000, MROUND(G95,10)&lt;= 500000), ROUND(ABS(MROUND(G95,10)- 250000)*0.05,0), IF(AND(MROUND(G95,10)&gt; 500000, MROUND(G95,10)&lt;= 1000000),  ROUND(12500+ ABS(MROUND(G95,10)- 500000)*0.2,0),  IF(MROUND(G95,10)&gt; 1000000,  ROUND(112500+ABS(MROUND(G95,10)- 1000000)*0.3,0), 0)))),IF(OR(AND(B95="2020-2021",'Basic Information'!$AG$22="Yes"),AND(B95="2021-2022",'Basic Information'!$AG$25="Yes"),AND(B95="2022-2023",'Basic Information'!$AG$28="Yes")), IF(MROUND(G95,10)&lt;= 250000, 0, IF(AND(MROUND(G95,10)&gt; 250000, MROUND(G95,10)&lt;= 500000), ROUND(ABS(MROUND(G95,10)- 250000)*0.05,0), IF(AND(MROUND(G95,10)&gt; 500000, MROUND(G95,10)&lt;= 750000),  ROUND(12500+ ABS(MROUND(G95,10)- 500000)*0.1,0), IF(AND(MROUND(G95,10)&gt; 750000, MROUND(G95,10)&lt;= 1000000),  ROUND(37500+ ABS(MROUND(G95,10)- 750000)*0.15,0),IF(AND(MROUND(G95,10)&gt; 1000000, MROUND(G95,10)&lt;= 1250000),  ROUND(75000+ ABS(MROUND(G95,10)- 1000000)*0.2,0),IF(AND(MROUND(G95,10)&gt; 1250000, MROUND(G95,10)&lt;= 1500000),  ROUND(125000+ ABS(MROUND(G95,10)- 1250000)*0.25,0), IF(MROUND(G95,10)&gt; 1500000,  ROUND(187500+ABS(MROUND(G95,10)- 1500000)*0.3,0), 0))))))),IF(AND(B95="2023-2024",'Basic Information'!$AG$31="No"), IF(MROUND(G95,10)&lt;= 300000, 0, IF(AND(MROUND(G95,10)&gt; 300000, MROUND(G95,10)&lt;= 600000), ROUND(ABS(MROUND(G95,10)- 300000)*0.05,0), IF(AND(MROUND(G95,10)&gt; 600000, MROUND(G95,10)&lt;= 900000),  ROUND(15000+ ABS(MROUND(G95,10)- 600000)*0.1,0), IF(AND(MROUND(G95,10)&gt; 900000, MROUND(G95,10)&lt;= 1200000),  ROUND(45000+ ABS(MROUND(G95,10)- 900000)*0.15,0),IF(AND(MROUND(G95,10)&gt; 1200000, MROUND(G95,10)&lt;= 1500000),  ROUND(90000+ ABS(MROUND(G95,10)- 1200000)*0.2,0), IF(MROUND(G95,10)&gt; 1500000,  ROUND(150000+ABS(MROUND(G95,10)- 1500000)*0.3,0), 0)))))),0))))))))))))))))</f>
        <v>0</v>
      </c>
      <c r="AU95" s="6">
        <f>IF(OR(B95="2013-2014",B95="2014-2015",B95="2015-2016"),IF(AND(MROUND(G95,10)&lt;=500000,MROUND(G95,10)&lt;&gt;0),IF(AT95&lt;=2000, AT95,2000),0), IF(B95="2016-2017",IF(AND(MROUND(G95,10)&lt;=500000,MROUND(G95,10)&lt;&gt;0),IF(AT95&lt;=5000, AT95,5000),0), IF(OR(B95="2017-2018",B95="2018-2019"),IF(AND(MROUND(G95,10)&lt;=350000,MROUND(G95,10)&lt;&gt;0),IF(AT95&lt;=2500, AT95,2500),0), IF(OR(B95="2019-2020",B95="2020-2021",B95="2021-2022",B95="2022-2023",AND(B95="2023-2024",'Basic Information'!$AG$31="Yes")),IF(AND(MROUND(G95,10)&lt;=500000,MROUND(G95,10)&lt;&gt;0),IF(AT95&lt;=12500, AT95,12500),0), IF(OR(AND(B95="2023-2024",'Basic Information'!$AG$31="No")),IF(AND(MROUND(G95,10)&lt;=700000,MROUND(G95,10)&lt;&gt;0),IF(AT95&lt;=25000, AT95,25000),IF(AND(MROUND(G95,10)&lt;&gt;0,(MROUND(G95,10)-700000)&lt;=AT95),AT95-(MROUND(G95,10)-700000),0)),0)))))</f>
        <v>0</v>
      </c>
      <c r="AV95" s="6">
        <f t="shared" si="5"/>
        <v>0</v>
      </c>
      <c r="AW95" s="6">
        <f t="shared" si="6"/>
        <v>0</v>
      </c>
      <c r="AX95" s="6">
        <f>IF( AND(OR(B95="2005-2006",B95="2006-2007"),$U$22&lt;&gt;"Female"),IF( MROUND(S95,10)&lt;= 100000, 0, IF(AND(MROUND(S95,10)&gt; 100000,MROUND(S95,10)&lt;= 150000),  ROUND(ABS(MROUND(S95,10)- 100000)*0.1,0), IF(AND(MROUND(S95,10)&gt; 150000, MROUND(S95,10)&lt;= 250000), ROUND(5000+ ABS(MROUND(S95,10)- 150000)*0.2,0),IF(MROUND(S95,10)&gt; 250000,  ROUND(25000+ABS(MROUND(S95,10)- 250000)*0.3,0),  0)))),IF(AND(OR(B95="2005-2006",B95="2006-2007"),$U$22="Female"),IF(MROUND(S95,10)&lt;= 135000, 0, IF(AND(MROUND(S95,10)&gt; 135000, MROUND(S95,10)&lt;= 150000), ROUND(ABS(MROUND(S95,10)- 135000)*0.1,0), IF(AND(MROUND(S95,10)&gt; 150000, MROUND(S95,10)&lt;= 250000), ROUND(1500+ ABS(MROUND(S95,10)- 150000)*0.2,0),  IF(MROUND(S95,10)&gt; 250000, ROUND(21500+ABS(MROUND(S95,10)- 250000)*0.3,0),0)))),IF(AND(B95="2007-2008",$U$22&lt;&gt;"Female"), IF(MROUND(S95,10)&lt;= 110000,  0,  IF(AND(MROUND(S95,10)&gt; 110000, MROUND(S95,10)&lt;= 150000),     ROUND(ABS(MROUND(S95,10)- 110000)*0.1,0),  IF(AND(MROUND(S95,10)&gt; 150000, MROUND(S95,10)&lt;= 250000),  ROUND(4000+ ABS(MROUND(S95,10)- 150000)*0.2,0),   IF(MROUND(S95,10)&gt; 250000,   ROUND(24000+ABS(MROUND(S95,10)- 250000)*0.3,0),0)))),IF(AND(B95="2007-2008",$U$22="Female"), IF(MROUND(S95,10)&lt;= 145000, 0, IF(AND(MROUND(S95,10)&gt; 145000, MROUND(S95,10)&lt;= 150000),     ROUND(ABS(MROUND(S95,10)- 145000)*0.1,0),  IF(AND(MROUND(S95,10)&gt; 150000, MROUND(S95,10)&lt;= 250000),  ROUND(500+ ABS(MROUND(S95,10)- 150000)*0.2,0),  IF(MROUND(S95,10)&gt; 250000, ROUND(20500+ABS(MROUND(S95,10)- 250000)*0.3,0),0)))), IF(AND(B95="2008-2009",$U$22&lt;&gt;"Female"), IF(MROUND(S95,10)&lt;= 150000, 0, IF(AND(MROUND(S95,10)&gt; 150000, MROUND(S95,10)&lt;= 300000), ROUND(ABS(MROUND(S95,10)- 150000)*0.1,0), IF(AND(MROUND(S95,10)&gt; 300000, MROUND(S95,10)&lt;= 500000),  ROUND(15000+ ABS(MROUND(S95,10)- 300000)*0.2,0),  IF(MROUND(S95,10)&gt; 500000,  ROUND(55000+ABS(MROUND(S95,10)- 500000)*0.3,0),0)))), IF(AND(B95="2008-2009",$U$22="Female"), IF(MROUND(S95,10)&lt;= 180000, 0, IF(AND(MROUND(S95,10)&gt; 180000, MROUND(S95,10)&lt;= 300000), ROUND(ABS(MROUND(S95,10)- 180000)*0.1,0), IF(AND(MROUND(S95,10)&gt; 300000, MROUND(S95,10)&lt;= 500000), ROUND(12000+ ABS(MROUND(S95,10)- 300000)*0.2,0),  IF(MROUND(S95,10)&gt; 500000,  ROUND(52000+ABS(MROUND(S95,10)- 500000)*0.3,0),0)))), IF(AND(B95="2009-2010", $U$22&lt;&gt;"Female"), IF(MROUND(S95,10)&lt;= 160000, 0, IF(AND(MROUND(S95,10)&gt; 160000, MROUND(S95,10)&lt;= 300000),ROUND(ABS(MROUND(S95,10)- 160000)*0.1,0), IF(AND(MROUND(S95,10)&gt; 300000, MROUND(S95,10)&lt;= 500000),ROUND(14000+ ABS(MROUND(S95,10)- 300000)*0.2,0),  IF(MROUND(S95,10)&gt; 500000, ROUND(54000+ABS(MROUND(S95,10)- 500000)*0.3,0),0)))),IF(AND(B95="2009-2010",$U$22="Female"), IF(MROUND(S95,10)&lt;= 190000, 0, IF(AND(MROUND(S95,10)&gt; 190000, MROUND(S95,10)&lt;= 300000),ROUND(ABS(MROUND(S95,10)- 190000)*0.1,0), IF(AND(MROUND(S95,10)&gt; 300000, MROUND(S95,10)&lt;= 500000), ROUND(11000+ ABS(MROUND(S95,10)- 300000)*0.2,0),IF(MROUND(S95,10)&gt; 500000,  ROUND(51000+ABS(MROUND(S95,10)- 500000)*0.3,0),0)))), IF(AND(B95="2010-2011",$U$22&lt;&gt;"Female"), IF(MROUND(S95,10)&lt;= 160000, 0, IF(AND(MROUND(S95,10)&gt; 160000, MROUND(S95,10)&lt;= 500000), ROUND(ABS(MROUND(S95,10)- 160000)*0.1,0), IF(AND(MROUND(S95,10)&gt; 500000, MROUND(S95,10)&lt;= 800000), ROUND(34000+ ABS(MROUND(S95,10)- 500000)*0.2,0),  IF(MROUND(S95,10)&gt; 800000,  ROUND(94000+ABS(MROUND(S95,10)- 800000)*0.3,0),0)))), IF(AND(OR(B95="2010-2011",B95="2011-2012"),$U$22="Female"), IF(MROUND(S95,10)&lt;= 190000, 0, IF(AND(MROUND(S95,10)&gt; 190000, MROUND(S95,10)&lt;= 500000), ROUND(ABS(MROUND(S95,10)- 190000)*0.1,0), IF(AND(MROUND(S95,10)&gt; 500000, MROUND(S95,10)&lt;= 800000),  ROUND(31000+ ABS(MROUND(S95,10)- 500000)*0.2,0),  IF(MROUND(S95,10)&gt; 800000,  ROUND(91000+ABS(MROUND(S95,10)- 800000)*0.3,0),0)))), IF(AND(B95="2011-2012", $U$22&lt;&gt;"Female"), IF(MROUND(S95,10)&lt;= 180000, 0, IF(AND(MROUND(S95,10)&gt; 180000, MROUND(S95,10)&lt;= 500000), ROUND(ABS(MROUND(S95,10)- 180000)*0.1,0), IF(AND(MROUND(S95,10)&gt; 500000, MROUND(S95,10)&lt;= 800000),  ROUND(32000+ ABS(MROUND(S95,10)- 500000)*0.2,0),  IF(MROUND(S95,10)&gt; 800000,  ROUND(92000+ABS(MROUND(S95,10)- 800000)*0.3,0),0)))), IF(OR(B95="2012-2013",B95="2013-2014"), IF(MROUND(S95,10)&lt;= 200000, 0, IF(AND(MROUND(S95,10)&gt; 200000, MROUND(S95,10)&lt;= 500000), ROUND(ABS(MROUND(S95,10)- 200000)*0.1,0), IF(AND(MROUND(S95,10)&gt; 500000, MROUND(S95,10)&lt;= 1000000),  ROUND(30000+ ABS(MROUND(S95,10)- 500000)*0.2,0),  IF(MROUND(S95,10)&gt; 1000000,  ROUND(130000+ABS(MROUND(S95,10)- 1000000)*0.3,0),0)))), IF(OR(B95="2014-2015", B95="2015-2016",B95="2016-2017"), IF(MROUND(S95,10)&lt;= 250000, 0, IF(AND(MROUND(S95,10)&gt; 250000, MROUND(S95,10)&lt;= 500000), ROUND(ABS(MROUND(S95,10)- 250000)*0.1,0), IF(AND(MROUND(S95,10)&gt; 500000, MROUND(S95,10)&lt;= 1000000),  ROUND(25000+ ABS(MROUND(S95,10)- 500000)*0.2,0),  IF(MROUND(S95,10)&gt; 1000000,  ROUND(125000+ABS(MROUND(S95,10)- 1000000)*0.3,0), 0)))),IF(OR(B95="2017-2018",B95="2018-2019",B95="2019-2020",AND(B95="2020-2021",'Basic Information'!$AG$22="No"),AND(B95="2021-2022",'Basic Information'!$AG$25="No"),AND(B95="2022-2023",'Basic Information'!$AG$28="No"),AND(B95="2023-2024",'Basic Information'!$AG$31="Yes")), IF(MROUND(S95,10)&lt;= 250000, 0, IF(AND(MROUND(S95,10)&gt; 250000, MROUND(S95,10)&lt;= 500000), ROUND(ABS(MROUND(S95,10)- 250000)*0.05,0), IF(AND(MROUND(S95,10)&gt; 500000, MROUND(S95,10)&lt;= 1000000),  ROUND(12500+ ABS(MROUND(S95,10)- 500000)*0.2,0),  IF(MROUND(S95,10)&gt; 1000000,  ROUND(112500+ABS(MROUND(S95,10)- 1000000)*0.3,0), 0)))),IF(OR(AND(B95="2020-2021",'Basic Information'!$AG$22="Yes"),AND(B95="2021-2022",'Basic Information'!$AG$25="Yes"),AND(B95="2022-2023",'Basic Information'!$AG$28="Yes")), IF(MROUND(S95,10)&lt;= 250000, 0, IF(AND(MROUND(S95,10)&gt; 250000, MROUND(S95,10)&lt;= 500000), ROUND(ABS(MROUND(S95,10)- 250000)*0.05,0), IF(AND(MROUND(S95,10)&gt; 500000, MROUND(S95,10)&lt;= 750000),  ROUND(12500+ ABS(MROUND(S95,10)- 500000)*0.1,0), IF(AND(MROUND(S95,10)&gt; 750000, MROUND(S95,10)&lt;= 1000000),  ROUND(37500+ ABS(MROUND(S95,10)- 750000)*0.15,0),IF(AND(MROUND(S95,10)&gt; 1000000, MROUND(S95,10)&lt;= 1250000),  ROUND(75000+ ABS(MROUND(S95,10)- 1000000)*0.2,0),IF(AND(MROUND(S95,10)&gt; 1250000, MROUND(S95,10)&lt;= 1500000),  ROUND(125000+ ABS(MROUND(S95,10)- 1250000)*0.25,0), IF(MROUND(S95,10)&gt; 1500000,  ROUND(187500+ABS(MROUND(S95,10)- 1500000)*0.3,0), 0))))))),IF(AND(B95="2023-2024",'Basic Information'!$AG$31="No"), IF(MROUND(S95,10)&lt;= 300000, 0, IF(AND(MROUND(S95,10)&gt; 300000, MROUND(S95,10)&lt;= 600000), ROUND(ABS(MROUND(S95,10)- 300000)*0.05,0), IF(AND(MROUND(S95,10)&gt; 600000, MROUND(S95,10)&lt;= 900000),  ROUND(15000+ ABS(MROUND(S95,10)- 600000)*0.1,0), IF(AND(MROUND(S95,10)&gt; 900000, MROUND(S95,10)&lt;= 1200000),  ROUND(45000+ ABS(MROUND(S95,10)- 900000)*0.15,0),IF(AND(MROUND(S95,10)&gt; 1200000, MROUND(S95,10)&lt;= 1500000),  ROUND(90000+ ABS(MROUND(S95,10)- 1200000)*0.2,0), IF(MROUND(S95,10)&gt; 1500000,  ROUND(150000+ABS(MROUND(S95,10)- 1500000)*0.3,0), 0)))))),0))))))))))))))))</f>
        <v>0</v>
      </c>
      <c r="AY95" s="6">
        <f>IF(OR(B95="2013-2014",B95="2014-2015",B95="2015-2016"),IF(AND(MROUND(S95,10)&lt;=500000,MROUND(S95,10)&lt;&gt;0),IF(AX95&lt;=2000, AX95,2000),0), IF(B95="2016-2017",IF(AND(MROUND(S95,10)&lt;=500000,MROUND(S95,10)&lt;&gt;0),IF(AX95&lt;=5000, AX95,5000),0), IF(OR(B95="2017-2018",B95="2018-2019"),IF(AND(MROUND(S95,10)&lt;=350000,MROUND(S95,10)&lt;&gt;0),IF(AX95&lt;=2500, AX95,2500),0), IF(OR(B95="2019-2020",B95="2020-2021",B95="2021-2022",B95="2022-2023",AND(B95="2023-2024",'Basic Information'!$AG$31="Yes")),IF(AND(MROUND(S95,10)&lt;=500000,MROUND(S95,10)&lt;&gt;0),IF(AX95&lt;=12500, AX95,12500),0), IF(OR(AND(B95="2023-2024",'Basic Information'!$AG$31="No")),IF(AND(MROUND(S95,10)&lt;=700000,MROUND(S95,10)&lt;&gt;0),IF(AX95&lt;=25000, AX95,25000),IF(AND(MROUND(S95,10)&lt;&gt;0,(MROUND(S95,10)-700000)&lt;= AX95), AX95-(MROUND(S95,10)-700000),0)),0)))))</f>
        <v>0</v>
      </c>
      <c r="AZ95" s="6">
        <f t="shared" si="7"/>
        <v>0</v>
      </c>
      <c r="BA95" s="6">
        <f t="shared" si="8"/>
        <v>0</v>
      </c>
    </row>
    <row r="96" spans="2:53" x14ac:dyDescent="0.3">
      <c r="B96" s="536" t="str">
        <f>IF(ISBLANK('Form 10E - Old Scheme'!B96),"",'Form 10E - Old Scheme'!B96)</f>
        <v/>
      </c>
      <c r="C96" s="537"/>
      <c r="D96" s="537"/>
      <c r="E96" s="537"/>
      <c r="F96" s="538"/>
      <c r="G96" s="335">
        <f>IF(ISNUMBER('Form 10E - Old Scheme'!G96),'Form 10E - Old Scheme'!G96,0)</f>
        <v>0</v>
      </c>
      <c r="H96" s="336"/>
      <c r="I96" s="336"/>
      <c r="J96" s="336"/>
      <c r="K96" s="336"/>
      <c r="L96" s="337"/>
      <c r="M96" s="335">
        <f>IF(ISNUMBER('Form 10E - Old Scheme'!M96),'Form 10E - Old Scheme'!M96,0)</f>
        <v>0</v>
      </c>
      <c r="N96" s="336"/>
      <c r="O96" s="336"/>
      <c r="P96" s="336"/>
      <c r="Q96" s="336"/>
      <c r="R96" s="337"/>
      <c r="S96" s="335">
        <f t="shared" si="2"/>
        <v>0</v>
      </c>
      <c r="T96" s="336"/>
      <c r="U96" s="336"/>
      <c r="V96" s="336"/>
      <c r="W96" s="336"/>
      <c r="X96" s="337"/>
      <c r="Y96" s="335">
        <f t="shared" si="3"/>
        <v>0</v>
      </c>
      <c r="Z96" s="336"/>
      <c r="AA96" s="336"/>
      <c r="AB96" s="336"/>
      <c r="AC96" s="336"/>
      <c r="AD96" s="337"/>
      <c r="AE96" s="335">
        <f t="shared" si="4"/>
        <v>0</v>
      </c>
      <c r="AF96" s="336"/>
      <c r="AG96" s="336"/>
      <c r="AH96" s="336"/>
      <c r="AI96" s="336"/>
      <c r="AJ96" s="338"/>
      <c r="AK96" s="339">
        <f t="shared" si="0"/>
        <v>0</v>
      </c>
      <c r="AL96" s="340"/>
      <c r="AM96" s="340"/>
      <c r="AN96" s="340"/>
      <c r="AO96" s="340"/>
      <c r="AP96" s="341"/>
      <c r="AQ96" s="38" t="str">
        <f t="shared" si="9"/>
        <v/>
      </c>
      <c r="AT96" s="6">
        <f>IF( AND(OR(B96="2005-2006",B96="2006-2007"),$U$22&lt;&gt;"Female"),IF( MROUND(G96,10)&lt;= 100000, 0, IF(AND(MROUND(G96,10)&gt; 100000,MROUND(G96,10)&lt;= 150000),  ROUND(ABS(MROUND(G96,10)- 100000)*0.1,0), IF(AND(MROUND(G96,10)&gt; 150000, MROUND(G96,10)&lt;= 250000), ROUND(5000+ ABS(MROUND(G96,10)- 150000)*0.2,0),IF(MROUND(G96,10)&gt; 250000,  ROUND(25000+ABS(MROUND(G96,10)- 250000)*0.3,0),  0)))),IF(AND(OR(B96="2005-2006",B96="2006-2007"),$U$22="Female"),IF(MROUND(G96,10)&lt;= 135000, 0, IF(AND(MROUND(G96,10)&gt; 135000, MROUND(G96,10)&lt;= 150000), ROUND(ABS(MROUND(G96,10)- 135000)*0.1,0), IF(AND(MROUND(G96,10)&gt; 150000, MROUND(G96,10)&lt;= 250000), ROUND(1500+ ABS(MROUND(G96,10)- 150000)*0.2,0),  IF(MROUND(G96,10)&gt; 250000, ROUND(21500+ABS(MROUND(G96,10)- 250000)*0.3,0),0)))),IF(AND(B96="2007-2008",$U$22&lt;&gt;"Female"), IF(MROUND(G96,10)&lt;= 110000,  0,  IF(AND(MROUND(G96,10)&gt; 110000, MROUND(G96,10)&lt;= 150000), ROUND(ABS(MROUND(G96,10)- 110000)*0.1,0),  IF(AND(MROUND(G96,10)&gt; 150000, MROUND(G96,10)&lt;= 250000),  ROUND(4000+ ABS(MROUND(G96,10)- 150000)*0.2,0),   IF(MROUND(G96,10)&gt; 250000,   ROUND(24000+ABS(MROUND(G96,10)- 250000)*0.3,0),0)))),IF(AND(B96="2007-2008",$U$22="Female"), IF(MROUND(G96,10)&lt;= 145000, 0, IF(AND(MROUND(G96,10)&gt; 145000, MROUND(G96,10)&lt;= 150000),     ROUND(ABS(MROUND(G96,10)- 145000)*0.1,0),  IF(AND(MROUND(G96,10)&gt; 150000, MROUND(G96,10)&lt;= 250000),  ROUND(500+ ABS(MROUND(G96,10)- 150000)*0.2,0),  IF(MROUND(G96,10)&gt; 250000, ROUND(20500+ABS(MROUND(G96,10)- 250000)*0.3,0),0)))), IF(AND(B96="2008-2009",$U$22&lt;&gt;"Female"), IF(MROUND(G96,10)&lt;= 150000, 0, IF(AND(MROUND(G96,10)&gt; 150000, MROUND(G96,10)&lt;= 300000), ROUND(ABS(MROUND(G96,10)- 150000)*0.1,0), IF(AND(MROUND(G96,10)&gt; 300000, MROUND(G96,10)&lt;= 500000),  ROUND(15000+ ABS(MROUND(G96,10)- 300000)*0.2,0),  IF(MROUND(G96,10)&gt; 500000,  ROUND(55000+ABS(MROUND(G96,10)- 500000)*0.3,0),0)))), IF(AND(B96="2008-2009",$U$22="Female"), IF(MROUND(G96,10)&lt;= 180000, 0, IF(AND(MROUND(G96,10)&gt; 180000, MROUND(G96,10)&lt;= 300000), ROUND(ABS(MROUND(G96,10)- 180000)*0.1,0), IF(AND(MROUND(G96,10)&gt; 300000, MROUND(G96,10)&lt;= 500000), ROUND(12000+ ABS(MROUND(G96,10)- 300000)*0.2,0),  IF(MROUND(G96,10)&gt; 500000,  ROUND(52000+ABS(MROUND(G96,10)- 500000)*0.3,0),0)))), IF(AND(B96="2009-2010", $U$22&lt;&gt;"Female"), IF(MROUND(G96,10)&lt;= 160000, 0, IF(AND(MROUND(G96,10)&gt; 160000, MROUND(G96,10)&lt;= 300000),ROUND(ABS(MROUND(G96,10)- 160000)*0.1,0), IF(AND(MROUND(G96,10)&gt; 300000, MROUND(G96,10)&lt;= 500000),ROUND(14000+ ABS(MROUND(G96,10)- 300000)*0.2,0),  IF(MROUND(G96,10)&gt; 500000, ROUND(54000+ABS(MROUND(G96,10)- 500000)*0.3,0),0)))),IF(AND(B96="2009-2010",$U$22="Female"), IF(MROUND(G96,10)&lt;= 190000, 0, IF(AND(MROUND(G96,10)&gt; 190000, MROUND(G96,10)&lt;= 300000),ROUND(ABS(MROUND(G96,10)- 190000)*0.1,0), IF(AND(MROUND(G96,10)&gt; 300000, MROUND(G96,10)&lt;= 500000), ROUND(11000+ ABS(MROUND(G96,10)- 300000)*0.2,0),IF(MROUND(G96,10)&gt; 500000,  ROUND(51000+ABS(MROUND(G96,10)- 500000)*0.3,0),0)))), IF(AND(B96="2010-2011",$U$22&lt;&gt;"Female"), IF(MROUND(G96,10)&lt;= 160000, 0, IF(AND(MROUND(G96,10)&gt; 160000, MROUND(G96,10)&lt;= 500000), ROUND(ABS(MROUND(G96,10)- 160000)*0.1,0), IF(AND(MROUND(G96,10)&gt; 500000, MROUND(G96,10)&lt;= 800000), ROUND(34000+ ABS(MROUND(G96,10)- 500000)*0.2,0),  IF(MROUND(G96,10)&gt; 800000,  ROUND(94000+ABS(MROUND(G96,10)- 800000)*0.3,0),0)))), IF(AND(OR(B96="2010-2011",B96="2011-2012"),$U$22="Female"), IF(MROUND(G96,10)&lt;= 190000, 0, IF(AND(MROUND(G96,10)&gt; 190000, MROUND(G96,10)&lt;= 500000), ROUND(ABS(MROUND(G96,10)- 190000)*0.1,0), IF(AND(MROUND(G96,10)&gt; 500000, MROUND(G96,10)&lt;= 800000),  ROUND(31000+ ABS(MROUND(G96,10)- 500000)*0.2,0),  IF(MROUND(G96,10)&gt; 800000,  ROUND(91000+ABS(MROUND(G96,10)- 800000)*0.3,0),0)))), IF(AND(B96="2011-2012", $U$22&lt;&gt;"Female"), IF(MROUND(G96,10)&lt;= 180000, 0, IF(AND(MROUND(G96,10)&gt; 180000, MROUND(G96,10)&lt;= 500000), ROUND(ABS(MROUND(G96,10)- 180000)*0.1,0), IF(AND(MROUND(G96,10)&gt; 500000, MROUND(G96,10)&lt;= 800000),  ROUND(32000+ ABS(MROUND(G96,10)- 500000)*0.2,0),  IF(MROUND(G96,10)&gt; 800000,  ROUND(92000+ABS(MROUND(G96,10)- 800000)*0.3,0),0)))), IF(OR(B96="2012-2013",B96="2013-2014"), IF(MROUND(G96,10)&lt;= 200000, 0, IF(AND(MROUND(G96,10)&gt; 200000, MROUND(G96,10)&lt;= 500000), ROUND(ABS(MROUND(G96,10)- 200000)*0.1,0), IF(AND(MROUND(G96,10)&gt; 500000, MROUND(G96,10)&lt;= 1000000),  ROUND(30000+ ABS(MROUND(G96,10)- 500000)*0.2,0),  IF(MROUND(G96,10)&gt; 1000000,  ROUND(130000+ABS(MROUND(G96,10)- 1000000)*0.3,0),0)))), IF(OR(B96="2014-2015", B96="2015-2016",B96="2016-2017"), IF(MROUND(G96,10)&lt;= 250000, 0, IF(AND(MROUND(G96,10)&gt; 250000, MROUND(G96,10)&lt;= 500000), ROUND(ABS(MROUND(G96,10)- 250000)*0.1,0), IF(AND(MROUND(G96,10)&gt; 500000, MROUND(G96,10)&lt;= 1000000),  ROUND(25000+ ABS(MROUND(G96,10)- 500000)*0.2,0),  IF(MROUND(G96,10)&gt; 1000000,  ROUND(125000+ABS(MROUND(G96,10)- 1000000)*0.3,0), 0)))), IF(OR(B96="2017-2018",B96="2018-2019",B96="2019-2020",AND(B96="2020-2021",'Basic Information'!$AG$22="No"),AND(B96="2021-2022",'Basic Information'!$AG$25="No"),AND(B96="2022-2023",'Basic Information'!$AG$28="No"),AND(B96="2023-2024",'Basic Information'!$AG$31="Yes")), IF(MROUND(G96,10)&lt;= 250000, 0, IF(AND(MROUND(G96,10)&gt; 250000, MROUND(G96,10)&lt;= 500000), ROUND(ABS(MROUND(G96,10)- 250000)*0.05,0), IF(AND(MROUND(G96,10)&gt; 500000, MROUND(G96,10)&lt;= 1000000),  ROUND(12500+ ABS(MROUND(G96,10)- 500000)*0.2,0),  IF(MROUND(G96,10)&gt; 1000000,  ROUND(112500+ABS(MROUND(G96,10)- 1000000)*0.3,0), 0)))),IF(OR(AND(B96="2020-2021",'Basic Information'!$AG$22="Yes"),AND(B96="2021-2022",'Basic Information'!$AG$25="Yes"),AND(B96="2022-2023",'Basic Information'!$AG$28="Yes")), IF(MROUND(G96,10)&lt;= 250000, 0, IF(AND(MROUND(G96,10)&gt; 250000, MROUND(G96,10)&lt;= 500000), ROUND(ABS(MROUND(G96,10)- 250000)*0.05,0), IF(AND(MROUND(G96,10)&gt; 500000, MROUND(G96,10)&lt;= 750000),  ROUND(12500+ ABS(MROUND(G96,10)- 500000)*0.1,0), IF(AND(MROUND(G96,10)&gt; 750000, MROUND(G96,10)&lt;= 1000000),  ROUND(37500+ ABS(MROUND(G96,10)- 750000)*0.15,0),IF(AND(MROUND(G96,10)&gt; 1000000, MROUND(G96,10)&lt;= 1250000),  ROUND(75000+ ABS(MROUND(G96,10)- 1000000)*0.2,0),IF(AND(MROUND(G96,10)&gt; 1250000, MROUND(G96,10)&lt;= 1500000),  ROUND(125000+ ABS(MROUND(G96,10)- 1250000)*0.25,0), IF(MROUND(G96,10)&gt; 1500000,  ROUND(187500+ABS(MROUND(G96,10)- 1500000)*0.3,0), 0))))))),IF(AND(B96="2023-2024",'Basic Information'!$AG$31="No"), IF(MROUND(G96,10)&lt;= 300000, 0, IF(AND(MROUND(G96,10)&gt; 300000, MROUND(G96,10)&lt;= 600000), ROUND(ABS(MROUND(G96,10)- 300000)*0.05,0), IF(AND(MROUND(G96,10)&gt; 600000, MROUND(G96,10)&lt;= 900000),  ROUND(15000+ ABS(MROUND(G96,10)- 600000)*0.1,0), IF(AND(MROUND(G96,10)&gt; 900000, MROUND(G96,10)&lt;= 1200000),  ROUND(45000+ ABS(MROUND(G96,10)- 900000)*0.15,0),IF(AND(MROUND(G96,10)&gt; 1200000, MROUND(G96,10)&lt;= 1500000),  ROUND(90000+ ABS(MROUND(G96,10)- 1200000)*0.2,0), IF(MROUND(G96,10)&gt; 1500000,  ROUND(150000+ABS(MROUND(G96,10)- 1500000)*0.3,0), 0)))))),0))))))))))))))))</f>
        <v>0</v>
      </c>
      <c r="AU96" s="6">
        <f>IF(OR(B96="2013-2014",B96="2014-2015",B96="2015-2016"),IF(AND(MROUND(G96,10)&lt;=500000,MROUND(G96,10)&lt;&gt;0),IF(AT96&lt;=2000, AT96,2000),0), IF(B96="2016-2017",IF(AND(MROUND(G96,10)&lt;=500000,MROUND(G96,10)&lt;&gt;0),IF(AT96&lt;=5000, AT96,5000),0), IF(OR(B96="2017-2018",B96="2018-2019"),IF(AND(MROUND(G96,10)&lt;=350000,MROUND(G96,10)&lt;&gt;0),IF(AT96&lt;=2500, AT96,2500),0), IF(OR(B96="2019-2020",B96="2020-2021",B96="2021-2022",B96="2022-2023",AND(B96="2023-2024",'Basic Information'!$AG$31="Yes")),IF(AND(MROUND(G96,10)&lt;=500000,MROUND(G96,10)&lt;&gt;0),IF(AT96&lt;=12500, AT96,12500),0), IF(OR(AND(B96="2023-2024",'Basic Information'!$AG$31="No")),IF(AND(MROUND(G96,10)&lt;=700000,MROUND(G96,10)&lt;&gt;0),IF(AT96&lt;=25000, AT96,25000),IF(AND(MROUND(G96,10)&lt;&gt;0,(MROUND(G96,10)-700000)&lt;=AT96),AT96-(MROUND(G96,10)-700000),0)),0)))))</f>
        <v>0</v>
      </c>
      <c r="AV96" s="6">
        <f t="shared" si="5"/>
        <v>0</v>
      </c>
      <c r="AW96" s="6">
        <f t="shared" si="6"/>
        <v>0</v>
      </c>
      <c r="AX96" s="6">
        <f>IF( AND(OR(B96="2005-2006",B96="2006-2007"),$U$22&lt;&gt;"Female"),IF( MROUND(S96,10)&lt;= 100000, 0, IF(AND(MROUND(S96,10)&gt; 100000,MROUND(S96,10)&lt;= 150000),  ROUND(ABS(MROUND(S96,10)- 100000)*0.1,0), IF(AND(MROUND(S96,10)&gt; 150000, MROUND(S96,10)&lt;= 250000), ROUND(5000+ ABS(MROUND(S96,10)- 150000)*0.2,0),IF(MROUND(S96,10)&gt; 250000,  ROUND(25000+ABS(MROUND(S96,10)- 250000)*0.3,0),  0)))),IF(AND(OR(B96="2005-2006",B96="2006-2007"),$U$22="Female"),IF(MROUND(S96,10)&lt;= 135000, 0, IF(AND(MROUND(S96,10)&gt; 135000, MROUND(S96,10)&lt;= 150000), ROUND(ABS(MROUND(S96,10)- 135000)*0.1,0), IF(AND(MROUND(S96,10)&gt; 150000, MROUND(S96,10)&lt;= 250000), ROUND(1500+ ABS(MROUND(S96,10)- 150000)*0.2,0),  IF(MROUND(S96,10)&gt; 250000, ROUND(21500+ABS(MROUND(S96,10)- 250000)*0.3,0),0)))),IF(AND(B96="2007-2008",$U$22&lt;&gt;"Female"), IF(MROUND(S96,10)&lt;= 110000,  0,  IF(AND(MROUND(S96,10)&gt; 110000, MROUND(S96,10)&lt;= 150000),     ROUND(ABS(MROUND(S96,10)- 110000)*0.1,0),  IF(AND(MROUND(S96,10)&gt; 150000, MROUND(S96,10)&lt;= 250000),  ROUND(4000+ ABS(MROUND(S96,10)- 150000)*0.2,0),   IF(MROUND(S96,10)&gt; 250000,   ROUND(24000+ABS(MROUND(S96,10)- 250000)*0.3,0),0)))),IF(AND(B96="2007-2008",$U$22="Female"), IF(MROUND(S96,10)&lt;= 145000, 0, IF(AND(MROUND(S96,10)&gt; 145000, MROUND(S96,10)&lt;= 150000),     ROUND(ABS(MROUND(S96,10)- 145000)*0.1,0),  IF(AND(MROUND(S96,10)&gt; 150000, MROUND(S96,10)&lt;= 250000),  ROUND(500+ ABS(MROUND(S96,10)- 150000)*0.2,0),  IF(MROUND(S96,10)&gt; 250000, ROUND(20500+ABS(MROUND(S96,10)- 250000)*0.3,0),0)))), IF(AND(B96="2008-2009",$U$22&lt;&gt;"Female"), IF(MROUND(S96,10)&lt;= 150000, 0, IF(AND(MROUND(S96,10)&gt; 150000, MROUND(S96,10)&lt;= 300000), ROUND(ABS(MROUND(S96,10)- 150000)*0.1,0), IF(AND(MROUND(S96,10)&gt; 300000, MROUND(S96,10)&lt;= 500000),  ROUND(15000+ ABS(MROUND(S96,10)- 300000)*0.2,0),  IF(MROUND(S96,10)&gt; 500000,  ROUND(55000+ABS(MROUND(S96,10)- 500000)*0.3,0),0)))), IF(AND(B96="2008-2009",$U$22="Female"), IF(MROUND(S96,10)&lt;= 180000, 0, IF(AND(MROUND(S96,10)&gt; 180000, MROUND(S96,10)&lt;= 300000), ROUND(ABS(MROUND(S96,10)- 180000)*0.1,0), IF(AND(MROUND(S96,10)&gt; 300000, MROUND(S96,10)&lt;= 500000), ROUND(12000+ ABS(MROUND(S96,10)- 300000)*0.2,0),  IF(MROUND(S96,10)&gt; 500000,  ROUND(52000+ABS(MROUND(S96,10)- 500000)*0.3,0),0)))), IF(AND(B96="2009-2010", $U$22&lt;&gt;"Female"), IF(MROUND(S96,10)&lt;= 160000, 0, IF(AND(MROUND(S96,10)&gt; 160000, MROUND(S96,10)&lt;= 300000),ROUND(ABS(MROUND(S96,10)- 160000)*0.1,0), IF(AND(MROUND(S96,10)&gt; 300000, MROUND(S96,10)&lt;= 500000),ROUND(14000+ ABS(MROUND(S96,10)- 300000)*0.2,0),  IF(MROUND(S96,10)&gt; 500000, ROUND(54000+ABS(MROUND(S96,10)- 500000)*0.3,0),0)))),IF(AND(B96="2009-2010",$U$22="Female"), IF(MROUND(S96,10)&lt;= 190000, 0, IF(AND(MROUND(S96,10)&gt; 190000, MROUND(S96,10)&lt;= 300000),ROUND(ABS(MROUND(S96,10)- 190000)*0.1,0), IF(AND(MROUND(S96,10)&gt; 300000, MROUND(S96,10)&lt;= 500000), ROUND(11000+ ABS(MROUND(S96,10)- 300000)*0.2,0),IF(MROUND(S96,10)&gt; 500000,  ROUND(51000+ABS(MROUND(S96,10)- 500000)*0.3,0),0)))), IF(AND(B96="2010-2011",$U$22&lt;&gt;"Female"), IF(MROUND(S96,10)&lt;= 160000, 0, IF(AND(MROUND(S96,10)&gt; 160000, MROUND(S96,10)&lt;= 500000), ROUND(ABS(MROUND(S96,10)- 160000)*0.1,0), IF(AND(MROUND(S96,10)&gt; 500000, MROUND(S96,10)&lt;= 800000), ROUND(34000+ ABS(MROUND(S96,10)- 500000)*0.2,0),  IF(MROUND(S96,10)&gt; 800000,  ROUND(94000+ABS(MROUND(S96,10)- 800000)*0.3,0),0)))), IF(AND(OR(B96="2010-2011",B96="2011-2012"),$U$22="Female"), IF(MROUND(S96,10)&lt;= 190000, 0, IF(AND(MROUND(S96,10)&gt; 190000, MROUND(S96,10)&lt;= 500000), ROUND(ABS(MROUND(S96,10)- 190000)*0.1,0), IF(AND(MROUND(S96,10)&gt; 500000, MROUND(S96,10)&lt;= 800000),  ROUND(31000+ ABS(MROUND(S96,10)- 500000)*0.2,0),  IF(MROUND(S96,10)&gt; 800000,  ROUND(91000+ABS(MROUND(S96,10)- 800000)*0.3,0),0)))), IF(AND(B96="2011-2012", $U$22&lt;&gt;"Female"), IF(MROUND(S96,10)&lt;= 180000, 0, IF(AND(MROUND(S96,10)&gt; 180000, MROUND(S96,10)&lt;= 500000), ROUND(ABS(MROUND(S96,10)- 180000)*0.1,0), IF(AND(MROUND(S96,10)&gt; 500000, MROUND(S96,10)&lt;= 800000),  ROUND(32000+ ABS(MROUND(S96,10)- 500000)*0.2,0),  IF(MROUND(S96,10)&gt; 800000,  ROUND(92000+ABS(MROUND(S96,10)- 800000)*0.3,0),0)))), IF(OR(B96="2012-2013",B96="2013-2014"), IF(MROUND(S96,10)&lt;= 200000, 0, IF(AND(MROUND(S96,10)&gt; 200000, MROUND(S96,10)&lt;= 500000), ROUND(ABS(MROUND(S96,10)- 200000)*0.1,0), IF(AND(MROUND(S96,10)&gt; 500000, MROUND(S96,10)&lt;= 1000000),  ROUND(30000+ ABS(MROUND(S96,10)- 500000)*0.2,0),  IF(MROUND(S96,10)&gt; 1000000,  ROUND(130000+ABS(MROUND(S96,10)- 1000000)*0.3,0),0)))), IF(OR(B96="2014-2015", B96="2015-2016",B96="2016-2017"), IF(MROUND(S96,10)&lt;= 250000, 0, IF(AND(MROUND(S96,10)&gt; 250000, MROUND(S96,10)&lt;= 500000), ROUND(ABS(MROUND(S96,10)- 250000)*0.1,0), IF(AND(MROUND(S96,10)&gt; 500000, MROUND(S96,10)&lt;= 1000000),  ROUND(25000+ ABS(MROUND(S96,10)- 500000)*0.2,0),  IF(MROUND(S96,10)&gt; 1000000,  ROUND(125000+ABS(MROUND(S96,10)- 1000000)*0.3,0), 0)))),IF(OR(B96="2017-2018",B96="2018-2019",B96="2019-2020",AND(B96="2020-2021",'Basic Information'!$AG$22="No"),AND(B96="2021-2022",'Basic Information'!$AG$25="No"),AND(B96="2022-2023",'Basic Information'!$AG$28="No"),AND(B96="2023-2024",'Basic Information'!$AG$31="Yes")), IF(MROUND(S96,10)&lt;= 250000, 0, IF(AND(MROUND(S96,10)&gt; 250000, MROUND(S96,10)&lt;= 500000), ROUND(ABS(MROUND(S96,10)- 250000)*0.05,0), IF(AND(MROUND(S96,10)&gt; 500000, MROUND(S96,10)&lt;= 1000000),  ROUND(12500+ ABS(MROUND(S96,10)- 500000)*0.2,0),  IF(MROUND(S96,10)&gt; 1000000,  ROUND(112500+ABS(MROUND(S96,10)- 1000000)*0.3,0), 0)))),IF(OR(AND(B96="2020-2021",'Basic Information'!$AG$22="Yes"),AND(B96="2021-2022",'Basic Information'!$AG$25="Yes"),AND(B96="2022-2023",'Basic Information'!$AG$28="Yes")), IF(MROUND(S96,10)&lt;= 250000, 0, IF(AND(MROUND(S96,10)&gt; 250000, MROUND(S96,10)&lt;= 500000), ROUND(ABS(MROUND(S96,10)- 250000)*0.05,0), IF(AND(MROUND(S96,10)&gt; 500000, MROUND(S96,10)&lt;= 750000),  ROUND(12500+ ABS(MROUND(S96,10)- 500000)*0.1,0), IF(AND(MROUND(S96,10)&gt; 750000, MROUND(S96,10)&lt;= 1000000),  ROUND(37500+ ABS(MROUND(S96,10)- 750000)*0.15,0),IF(AND(MROUND(S96,10)&gt; 1000000, MROUND(S96,10)&lt;= 1250000),  ROUND(75000+ ABS(MROUND(S96,10)- 1000000)*0.2,0),IF(AND(MROUND(S96,10)&gt; 1250000, MROUND(S96,10)&lt;= 1500000),  ROUND(125000+ ABS(MROUND(S96,10)- 1250000)*0.25,0), IF(MROUND(S96,10)&gt; 1500000,  ROUND(187500+ABS(MROUND(S96,10)- 1500000)*0.3,0), 0))))))),IF(AND(B96="2023-2024",'Basic Information'!$AG$31="No"), IF(MROUND(S96,10)&lt;= 300000, 0, IF(AND(MROUND(S96,10)&gt; 300000, MROUND(S96,10)&lt;= 600000), ROUND(ABS(MROUND(S96,10)- 300000)*0.05,0), IF(AND(MROUND(S96,10)&gt; 600000, MROUND(S96,10)&lt;= 900000),  ROUND(15000+ ABS(MROUND(S96,10)- 600000)*0.1,0), IF(AND(MROUND(S96,10)&gt; 900000, MROUND(S96,10)&lt;= 1200000),  ROUND(45000+ ABS(MROUND(S96,10)- 900000)*0.15,0),IF(AND(MROUND(S96,10)&gt; 1200000, MROUND(S96,10)&lt;= 1500000),  ROUND(90000+ ABS(MROUND(S96,10)- 1200000)*0.2,0), IF(MROUND(S96,10)&gt; 1500000,  ROUND(150000+ABS(MROUND(S96,10)- 1500000)*0.3,0), 0)))))),0))))))))))))))))</f>
        <v>0</v>
      </c>
      <c r="AY96" s="6">
        <f>IF(OR(B96="2013-2014",B96="2014-2015",B96="2015-2016"),IF(AND(MROUND(S96,10)&lt;=500000,MROUND(S96,10)&lt;&gt;0),IF(AX96&lt;=2000, AX96,2000),0), IF(B96="2016-2017",IF(AND(MROUND(S96,10)&lt;=500000,MROUND(S96,10)&lt;&gt;0),IF(AX96&lt;=5000, AX96,5000),0), IF(OR(B96="2017-2018",B96="2018-2019"),IF(AND(MROUND(S96,10)&lt;=350000,MROUND(S96,10)&lt;&gt;0),IF(AX96&lt;=2500, AX96,2500),0), IF(OR(B96="2019-2020",B96="2020-2021",B96="2021-2022",B96="2022-2023",AND(B96="2023-2024",'Basic Information'!$AG$31="Yes")),IF(AND(MROUND(S96,10)&lt;=500000,MROUND(S96,10)&lt;&gt;0),IF(AX96&lt;=12500, AX96,12500),0), IF(OR(AND(B96="2023-2024",'Basic Information'!$AG$31="No")),IF(AND(MROUND(S96,10)&lt;=700000,MROUND(S96,10)&lt;&gt;0),IF(AX96&lt;=25000, AX96,25000),IF(AND(MROUND(S96,10)&lt;&gt;0,(MROUND(S96,10)-700000)&lt;= AX96), AX96-(MROUND(S96,10)-700000),0)),0)))))</f>
        <v>0</v>
      </c>
      <c r="AZ96" s="6">
        <f t="shared" si="7"/>
        <v>0</v>
      </c>
      <c r="BA96" s="6">
        <f t="shared" si="8"/>
        <v>0</v>
      </c>
    </row>
    <row r="97" spans="2:53" x14ac:dyDescent="0.3">
      <c r="B97" s="536" t="str">
        <f>IF(ISBLANK('Form 10E - Old Scheme'!B97),"",'Form 10E - Old Scheme'!B97)</f>
        <v/>
      </c>
      <c r="C97" s="537"/>
      <c r="D97" s="537"/>
      <c r="E97" s="537"/>
      <c r="F97" s="538"/>
      <c r="G97" s="335">
        <f>IF(ISNUMBER('Form 10E - Old Scheme'!G97),'Form 10E - Old Scheme'!G97,0)</f>
        <v>0</v>
      </c>
      <c r="H97" s="336"/>
      <c r="I97" s="336"/>
      <c r="J97" s="336"/>
      <c r="K97" s="336"/>
      <c r="L97" s="337"/>
      <c r="M97" s="335">
        <f>IF(ISNUMBER('Form 10E - Old Scheme'!M97),'Form 10E - Old Scheme'!M97,0)</f>
        <v>0</v>
      </c>
      <c r="N97" s="336"/>
      <c r="O97" s="336"/>
      <c r="P97" s="336"/>
      <c r="Q97" s="336"/>
      <c r="R97" s="337"/>
      <c r="S97" s="335">
        <f t="shared" si="2"/>
        <v>0</v>
      </c>
      <c r="T97" s="336"/>
      <c r="U97" s="336"/>
      <c r="V97" s="336"/>
      <c r="W97" s="336"/>
      <c r="X97" s="337"/>
      <c r="Y97" s="335">
        <f t="shared" si="3"/>
        <v>0</v>
      </c>
      <c r="Z97" s="336"/>
      <c r="AA97" s="336"/>
      <c r="AB97" s="336"/>
      <c r="AC97" s="336"/>
      <c r="AD97" s="337"/>
      <c r="AE97" s="335">
        <f t="shared" si="4"/>
        <v>0</v>
      </c>
      <c r="AF97" s="336"/>
      <c r="AG97" s="336"/>
      <c r="AH97" s="336"/>
      <c r="AI97" s="336"/>
      <c r="AJ97" s="338"/>
      <c r="AK97" s="339">
        <f t="shared" si="0"/>
        <v>0</v>
      </c>
      <c r="AL97" s="340"/>
      <c r="AM97" s="340"/>
      <c r="AN97" s="340"/>
      <c r="AO97" s="340"/>
      <c r="AP97" s="341"/>
      <c r="AQ97" s="38" t="str">
        <f t="shared" si="9"/>
        <v/>
      </c>
      <c r="AT97" s="6">
        <f>IF( AND(OR(B97="2005-2006",B97="2006-2007"),$U$22&lt;&gt;"Female"),IF( MROUND(G97,10)&lt;= 100000, 0, IF(AND(MROUND(G97,10)&gt; 100000,MROUND(G97,10)&lt;= 150000),  ROUND(ABS(MROUND(G97,10)- 100000)*0.1,0), IF(AND(MROUND(G97,10)&gt; 150000, MROUND(G97,10)&lt;= 250000), ROUND(5000+ ABS(MROUND(G97,10)- 150000)*0.2,0),IF(MROUND(G97,10)&gt; 250000,  ROUND(25000+ABS(MROUND(G97,10)- 250000)*0.3,0),  0)))),IF(AND(OR(B97="2005-2006",B97="2006-2007"),$U$22="Female"),IF(MROUND(G97,10)&lt;= 135000, 0, IF(AND(MROUND(G97,10)&gt; 135000, MROUND(G97,10)&lt;= 150000), ROUND(ABS(MROUND(G97,10)- 135000)*0.1,0), IF(AND(MROUND(G97,10)&gt; 150000, MROUND(G97,10)&lt;= 250000), ROUND(1500+ ABS(MROUND(G97,10)- 150000)*0.2,0),  IF(MROUND(G97,10)&gt; 250000, ROUND(21500+ABS(MROUND(G97,10)- 250000)*0.3,0),0)))),IF(AND(B97="2007-2008",$U$22&lt;&gt;"Female"), IF(MROUND(G97,10)&lt;= 110000,  0,  IF(AND(MROUND(G97,10)&gt; 110000, MROUND(G97,10)&lt;= 150000), ROUND(ABS(MROUND(G97,10)- 110000)*0.1,0),  IF(AND(MROUND(G97,10)&gt; 150000, MROUND(G97,10)&lt;= 250000),  ROUND(4000+ ABS(MROUND(G97,10)- 150000)*0.2,0),   IF(MROUND(G97,10)&gt; 250000,   ROUND(24000+ABS(MROUND(G97,10)- 250000)*0.3,0),0)))),IF(AND(B97="2007-2008",$U$22="Female"), IF(MROUND(G97,10)&lt;= 145000, 0, IF(AND(MROUND(G97,10)&gt; 145000, MROUND(G97,10)&lt;= 150000),     ROUND(ABS(MROUND(G97,10)- 145000)*0.1,0),  IF(AND(MROUND(G97,10)&gt; 150000, MROUND(G97,10)&lt;= 250000),  ROUND(500+ ABS(MROUND(G97,10)- 150000)*0.2,0),  IF(MROUND(G97,10)&gt; 250000, ROUND(20500+ABS(MROUND(G97,10)- 250000)*0.3,0),0)))), IF(AND(B97="2008-2009",$U$22&lt;&gt;"Female"), IF(MROUND(G97,10)&lt;= 150000, 0, IF(AND(MROUND(G97,10)&gt; 150000, MROUND(G97,10)&lt;= 300000), ROUND(ABS(MROUND(G97,10)- 150000)*0.1,0), IF(AND(MROUND(G97,10)&gt; 300000, MROUND(G97,10)&lt;= 500000),  ROUND(15000+ ABS(MROUND(G97,10)- 300000)*0.2,0),  IF(MROUND(G97,10)&gt; 500000,  ROUND(55000+ABS(MROUND(G97,10)- 500000)*0.3,0),0)))), IF(AND(B97="2008-2009",$U$22="Female"), IF(MROUND(G97,10)&lt;= 180000, 0, IF(AND(MROUND(G97,10)&gt; 180000, MROUND(G97,10)&lt;= 300000), ROUND(ABS(MROUND(G97,10)- 180000)*0.1,0), IF(AND(MROUND(G97,10)&gt; 300000, MROUND(G97,10)&lt;= 500000), ROUND(12000+ ABS(MROUND(G97,10)- 300000)*0.2,0),  IF(MROUND(G97,10)&gt; 500000,  ROUND(52000+ABS(MROUND(G97,10)- 500000)*0.3,0),0)))), IF(AND(B97="2009-2010", $U$22&lt;&gt;"Female"), IF(MROUND(G97,10)&lt;= 160000, 0, IF(AND(MROUND(G97,10)&gt; 160000, MROUND(G97,10)&lt;= 300000),ROUND(ABS(MROUND(G97,10)- 160000)*0.1,0), IF(AND(MROUND(G97,10)&gt; 300000, MROUND(G97,10)&lt;= 500000),ROUND(14000+ ABS(MROUND(G97,10)- 300000)*0.2,0),  IF(MROUND(G97,10)&gt; 500000, ROUND(54000+ABS(MROUND(G97,10)- 500000)*0.3,0),0)))),IF(AND(B97="2009-2010",$U$22="Female"), IF(MROUND(G97,10)&lt;= 190000, 0, IF(AND(MROUND(G97,10)&gt; 190000, MROUND(G97,10)&lt;= 300000),ROUND(ABS(MROUND(G97,10)- 190000)*0.1,0), IF(AND(MROUND(G97,10)&gt; 300000, MROUND(G97,10)&lt;= 500000), ROUND(11000+ ABS(MROUND(G97,10)- 300000)*0.2,0),IF(MROUND(G97,10)&gt; 500000,  ROUND(51000+ABS(MROUND(G97,10)- 500000)*0.3,0),0)))), IF(AND(B97="2010-2011",$U$22&lt;&gt;"Female"), IF(MROUND(G97,10)&lt;= 160000, 0, IF(AND(MROUND(G97,10)&gt; 160000, MROUND(G97,10)&lt;= 500000), ROUND(ABS(MROUND(G97,10)- 160000)*0.1,0), IF(AND(MROUND(G97,10)&gt; 500000, MROUND(G97,10)&lt;= 800000), ROUND(34000+ ABS(MROUND(G97,10)- 500000)*0.2,0),  IF(MROUND(G97,10)&gt; 800000,  ROUND(94000+ABS(MROUND(G97,10)- 800000)*0.3,0),0)))), IF(AND(OR(B97="2010-2011",B97="2011-2012"),$U$22="Female"), IF(MROUND(G97,10)&lt;= 190000, 0, IF(AND(MROUND(G97,10)&gt; 190000, MROUND(G97,10)&lt;= 500000), ROUND(ABS(MROUND(G97,10)- 190000)*0.1,0), IF(AND(MROUND(G97,10)&gt; 500000, MROUND(G97,10)&lt;= 800000),  ROUND(31000+ ABS(MROUND(G97,10)- 500000)*0.2,0),  IF(MROUND(G97,10)&gt; 800000,  ROUND(91000+ABS(MROUND(G97,10)- 800000)*0.3,0),0)))), IF(AND(B97="2011-2012", $U$22&lt;&gt;"Female"), IF(MROUND(G97,10)&lt;= 180000, 0, IF(AND(MROUND(G97,10)&gt; 180000, MROUND(G97,10)&lt;= 500000), ROUND(ABS(MROUND(G97,10)- 180000)*0.1,0), IF(AND(MROUND(G97,10)&gt; 500000, MROUND(G97,10)&lt;= 800000),  ROUND(32000+ ABS(MROUND(G97,10)- 500000)*0.2,0),  IF(MROUND(G97,10)&gt; 800000,  ROUND(92000+ABS(MROUND(G97,10)- 800000)*0.3,0),0)))), IF(OR(B97="2012-2013",B97="2013-2014"), IF(MROUND(G97,10)&lt;= 200000, 0, IF(AND(MROUND(G97,10)&gt; 200000, MROUND(G97,10)&lt;= 500000), ROUND(ABS(MROUND(G97,10)- 200000)*0.1,0), IF(AND(MROUND(G97,10)&gt; 500000, MROUND(G97,10)&lt;= 1000000),  ROUND(30000+ ABS(MROUND(G97,10)- 500000)*0.2,0),  IF(MROUND(G97,10)&gt; 1000000,  ROUND(130000+ABS(MROUND(G97,10)- 1000000)*0.3,0),0)))), IF(OR(B97="2014-2015", B97="2015-2016",B97="2016-2017"), IF(MROUND(G97,10)&lt;= 250000, 0, IF(AND(MROUND(G97,10)&gt; 250000, MROUND(G97,10)&lt;= 500000), ROUND(ABS(MROUND(G97,10)- 250000)*0.1,0), IF(AND(MROUND(G97,10)&gt; 500000, MROUND(G97,10)&lt;= 1000000),  ROUND(25000+ ABS(MROUND(G97,10)- 500000)*0.2,0),  IF(MROUND(G97,10)&gt; 1000000,  ROUND(125000+ABS(MROUND(G97,10)- 1000000)*0.3,0), 0)))), IF(OR(B97="2017-2018",B97="2018-2019",B97="2019-2020",AND(B97="2020-2021",'Basic Information'!$AG$22="No"),AND(B97="2021-2022",'Basic Information'!$AG$25="No"),AND(B97="2022-2023",'Basic Information'!$AG$28="No"),AND(B97="2023-2024",'Basic Information'!$AG$31="Yes")), IF(MROUND(G97,10)&lt;= 250000, 0, IF(AND(MROUND(G97,10)&gt; 250000, MROUND(G97,10)&lt;= 500000), ROUND(ABS(MROUND(G97,10)- 250000)*0.05,0), IF(AND(MROUND(G97,10)&gt; 500000, MROUND(G97,10)&lt;= 1000000),  ROUND(12500+ ABS(MROUND(G97,10)- 500000)*0.2,0),  IF(MROUND(G97,10)&gt; 1000000,  ROUND(112500+ABS(MROUND(G97,10)- 1000000)*0.3,0), 0)))),IF(OR(AND(B97="2020-2021",'Basic Information'!$AG$22="Yes"),AND(B97="2021-2022",'Basic Information'!$AG$25="Yes"),AND(B97="2022-2023",'Basic Information'!$AG$28="Yes")), IF(MROUND(G97,10)&lt;= 250000, 0, IF(AND(MROUND(G97,10)&gt; 250000, MROUND(G97,10)&lt;= 500000), ROUND(ABS(MROUND(G97,10)- 250000)*0.05,0), IF(AND(MROUND(G97,10)&gt; 500000, MROUND(G97,10)&lt;= 750000),  ROUND(12500+ ABS(MROUND(G97,10)- 500000)*0.1,0), IF(AND(MROUND(G97,10)&gt; 750000, MROUND(G97,10)&lt;= 1000000),  ROUND(37500+ ABS(MROUND(G97,10)- 750000)*0.15,0),IF(AND(MROUND(G97,10)&gt; 1000000, MROUND(G97,10)&lt;= 1250000),  ROUND(75000+ ABS(MROUND(G97,10)- 1000000)*0.2,0),IF(AND(MROUND(G97,10)&gt; 1250000, MROUND(G97,10)&lt;= 1500000),  ROUND(125000+ ABS(MROUND(G97,10)- 1250000)*0.25,0), IF(MROUND(G97,10)&gt; 1500000,  ROUND(187500+ABS(MROUND(G97,10)- 1500000)*0.3,0), 0))))))),IF(AND(B97="2023-2024",'Basic Information'!$AG$31="No"), IF(MROUND(G97,10)&lt;= 300000, 0, IF(AND(MROUND(G97,10)&gt; 300000, MROUND(G97,10)&lt;= 600000), ROUND(ABS(MROUND(G97,10)- 300000)*0.05,0), IF(AND(MROUND(G97,10)&gt; 600000, MROUND(G97,10)&lt;= 900000),  ROUND(15000+ ABS(MROUND(G97,10)- 600000)*0.1,0), IF(AND(MROUND(G97,10)&gt; 900000, MROUND(G97,10)&lt;= 1200000),  ROUND(45000+ ABS(MROUND(G97,10)- 900000)*0.15,0),IF(AND(MROUND(G97,10)&gt; 1200000, MROUND(G97,10)&lt;= 1500000),  ROUND(90000+ ABS(MROUND(G97,10)- 1200000)*0.2,0), IF(MROUND(G97,10)&gt; 1500000,  ROUND(150000+ABS(MROUND(G97,10)- 1500000)*0.3,0), 0)))))),0))))))))))))))))</f>
        <v>0</v>
      </c>
      <c r="AU97" s="6">
        <f>IF(OR(B97="2013-2014",B97="2014-2015",B97="2015-2016"),IF(AND(MROUND(G97,10)&lt;=500000,MROUND(G97,10)&lt;&gt;0),IF(AT97&lt;=2000, AT97,2000),0), IF(B97="2016-2017",IF(AND(MROUND(G97,10)&lt;=500000,MROUND(G97,10)&lt;&gt;0),IF(AT97&lt;=5000, AT97,5000),0), IF(OR(B97="2017-2018",B97="2018-2019"),IF(AND(MROUND(G97,10)&lt;=350000,MROUND(G97,10)&lt;&gt;0),IF(AT97&lt;=2500, AT97,2500),0), IF(OR(B97="2019-2020",B97="2020-2021",B97="2021-2022",B97="2022-2023",AND(B97="2023-2024",'Basic Information'!$AG$31="Yes")),IF(AND(MROUND(G97,10)&lt;=500000,MROUND(G97,10)&lt;&gt;0),IF(AT97&lt;=12500, AT97,12500),0), IF(OR(AND(B97="2023-2024",'Basic Information'!$AG$31="No")),IF(AND(MROUND(G97,10)&lt;=700000,MROUND(G97,10)&lt;&gt;0),IF(AT97&lt;=25000, AT97,25000),IF(AND(MROUND(G97,10)&lt;&gt;0,(MROUND(G97,10)-700000)&lt;=AT97),AT97-(MROUND(G97,10)-700000),0)),0)))))</f>
        <v>0</v>
      </c>
      <c r="AV97" s="6">
        <f t="shared" si="5"/>
        <v>0</v>
      </c>
      <c r="AW97" s="6">
        <f t="shared" si="6"/>
        <v>0</v>
      </c>
      <c r="AX97" s="6">
        <f>IF( AND(OR(B97="2005-2006",B97="2006-2007"),$U$22&lt;&gt;"Female"),IF( MROUND(S97,10)&lt;= 100000, 0, IF(AND(MROUND(S97,10)&gt; 100000,MROUND(S97,10)&lt;= 150000),  ROUND(ABS(MROUND(S97,10)- 100000)*0.1,0), IF(AND(MROUND(S97,10)&gt; 150000, MROUND(S97,10)&lt;= 250000), ROUND(5000+ ABS(MROUND(S97,10)- 150000)*0.2,0),IF(MROUND(S97,10)&gt; 250000,  ROUND(25000+ABS(MROUND(S97,10)- 250000)*0.3,0),  0)))),IF(AND(OR(B97="2005-2006",B97="2006-2007"),$U$22="Female"),IF(MROUND(S97,10)&lt;= 135000, 0, IF(AND(MROUND(S97,10)&gt; 135000, MROUND(S97,10)&lt;= 150000), ROUND(ABS(MROUND(S97,10)- 135000)*0.1,0), IF(AND(MROUND(S97,10)&gt; 150000, MROUND(S97,10)&lt;= 250000), ROUND(1500+ ABS(MROUND(S97,10)- 150000)*0.2,0),  IF(MROUND(S97,10)&gt; 250000, ROUND(21500+ABS(MROUND(S97,10)- 250000)*0.3,0),0)))),IF(AND(B97="2007-2008",$U$22&lt;&gt;"Female"), IF(MROUND(S97,10)&lt;= 110000,  0,  IF(AND(MROUND(S97,10)&gt; 110000, MROUND(S97,10)&lt;= 150000),     ROUND(ABS(MROUND(S97,10)- 110000)*0.1,0),  IF(AND(MROUND(S97,10)&gt; 150000, MROUND(S97,10)&lt;= 250000),  ROUND(4000+ ABS(MROUND(S97,10)- 150000)*0.2,0),   IF(MROUND(S97,10)&gt; 250000,   ROUND(24000+ABS(MROUND(S97,10)- 250000)*0.3,0),0)))),IF(AND(B97="2007-2008",$U$22="Female"), IF(MROUND(S97,10)&lt;= 145000, 0, IF(AND(MROUND(S97,10)&gt; 145000, MROUND(S97,10)&lt;= 150000),     ROUND(ABS(MROUND(S97,10)- 145000)*0.1,0),  IF(AND(MROUND(S97,10)&gt; 150000, MROUND(S97,10)&lt;= 250000),  ROUND(500+ ABS(MROUND(S97,10)- 150000)*0.2,0),  IF(MROUND(S97,10)&gt; 250000, ROUND(20500+ABS(MROUND(S97,10)- 250000)*0.3,0),0)))), IF(AND(B97="2008-2009",$U$22&lt;&gt;"Female"), IF(MROUND(S97,10)&lt;= 150000, 0, IF(AND(MROUND(S97,10)&gt; 150000, MROUND(S97,10)&lt;= 300000), ROUND(ABS(MROUND(S97,10)- 150000)*0.1,0), IF(AND(MROUND(S97,10)&gt; 300000, MROUND(S97,10)&lt;= 500000),  ROUND(15000+ ABS(MROUND(S97,10)- 300000)*0.2,0),  IF(MROUND(S97,10)&gt; 500000,  ROUND(55000+ABS(MROUND(S97,10)- 500000)*0.3,0),0)))), IF(AND(B97="2008-2009",$U$22="Female"), IF(MROUND(S97,10)&lt;= 180000, 0, IF(AND(MROUND(S97,10)&gt; 180000, MROUND(S97,10)&lt;= 300000), ROUND(ABS(MROUND(S97,10)- 180000)*0.1,0), IF(AND(MROUND(S97,10)&gt; 300000, MROUND(S97,10)&lt;= 500000), ROUND(12000+ ABS(MROUND(S97,10)- 300000)*0.2,0),  IF(MROUND(S97,10)&gt; 500000,  ROUND(52000+ABS(MROUND(S97,10)- 500000)*0.3,0),0)))), IF(AND(B97="2009-2010", $U$22&lt;&gt;"Female"), IF(MROUND(S97,10)&lt;= 160000, 0, IF(AND(MROUND(S97,10)&gt; 160000, MROUND(S97,10)&lt;= 300000),ROUND(ABS(MROUND(S97,10)- 160000)*0.1,0), IF(AND(MROUND(S97,10)&gt; 300000, MROUND(S97,10)&lt;= 500000),ROUND(14000+ ABS(MROUND(S97,10)- 300000)*0.2,0),  IF(MROUND(S97,10)&gt; 500000, ROUND(54000+ABS(MROUND(S97,10)- 500000)*0.3,0),0)))),IF(AND(B97="2009-2010",$U$22="Female"), IF(MROUND(S97,10)&lt;= 190000, 0, IF(AND(MROUND(S97,10)&gt; 190000, MROUND(S97,10)&lt;= 300000),ROUND(ABS(MROUND(S97,10)- 190000)*0.1,0), IF(AND(MROUND(S97,10)&gt; 300000, MROUND(S97,10)&lt;= 500000), ROUND(11000+ ABS(MROUND(S97,10)- 300000)*0.2,0),IF(MROUND(S97,10)&gt; 500000,  ROUND(51000+ABS(MROUND(S97,10)- 500000)*0.3,0),0)))), IF(AND(B97="2010-2011",$U$22&lt;&gt;"Female"), IF(MROUND(S97,10)&lt;= 160000, 0, IF(AND(MROUND(S97,10)&gt; 160000, MROUND(S97,10)&lt;= 500000), ROUND(ABS(MROUND(S97,10)- 160000)*0.1,0), IF(AND(MROUND(S97,10)&gt; 500000, MROUND(S97,10)&lt;= 800000), ROUND(34000+ ABS(MROUND(S97,10)- 500000)*0.2,0),  IF(MROUND(S97,10)&gt; 800000,  ROUND(94000+ABS(MROUND(S97,10)- 800000)*0.3,0),0)))), IF(AND(OR(B97="2010-2011",B97="2011-2012"),$U$22="Female"), IF(MROUND(S97,10)&lt;= 190000, 0, IF(AND(MROUND(S97,10)&gt; 190000, MROUND(S97,10)&lt;= 500000), ROUND(ABS(MROUND(S97,10)- 190000)*0.1,0), IF(AND(MROUND(S97,10)&gt; 500000, MROUND(S97,10)&lt;= 800000),  ROUND(31000+ ABS(MROUND(S97,10)- 500000)*0.2,0),  IF(MROUND(S97,10)&gt; 800000,  ROUND(91000+ABS(MROUND(S97,10)- 800000)*0.3,0),0)))), IF(AND(B97="2011-2012", $U$22&lt;&gt;"Female"), IF(MROUND(S97,10)&lt;= 180000, 0, IF(AND(MROUND(S97,10)&gt; 180000, MROUND(S97,10)&lt;= 500000), ROUND(ABS(MROUND(S97,10)- 180000)*0.1,0), IF(AND(MROUND(S97,10)&gt; 500000, MROUND(S97,10)&lt;= 800000),  ROUND(32000+ ABS(MROUND(S97,10)- 500000)*0.2,0),  IF(MROUND(S97,10)&gt; 800000,  ROUND(92000+ABS(MROUND(S97,10)- 800000)*0.3,0),0)))), IF(OR(B97="2012-2013",B97="2013-2014"), IF(MROUND(S97,10)&lt;= 200000, 0, IF(AND(MROUND(S97,10)&gt; 200000, MROUND(S97,10)&lt;= 500000), ROUND(ABS(MROUND(S97,10)- 200000)*0.1,0), IF(AND(MROUND(S97,10)&gt; 500000, MROUND(S97,10)&lt;= 1000000),  ROUND(30000+ ABS(MROUND(S97,10)- 500000)*0.2,0),  IF(MROUND(S97,10)&gt; 1000000,  ROUND(130000+ABS(MROUND(S97,10)- 1000000)*0.3,0),0)))), IF(OR(B97="2014-2015", B97="2015-2016",B97="2016-2017"), IF(MROUND(S97,10)&lt;= 250000, 0, IF(AND(MROUND(S97,10)&gt; 250000, MROUND(S97,10)&lt;= 500000), ROUND(ABS(MROUND(S97,10)- 250000)*0.1,0), IF(AND(MROUND(S97,10)&gt; 500000, MROUND(S97,10)&lt;= 1000000),  ROUND(25000+ ABS(MROUND(S97,10)- 500000)*0.2,0),  IF(MROUND(S97,10)&gt; 1000000,  ROUND(125000+ABS(MROUND(S97,10)- 1000000)*0.3,0), 0)))),IF(OR(B97="2017-2018",B97="2018-2019",B97="2019-2020",AND(B97="2020-2021",'Basic Information'!$AG$22="No"),AND(B97="2021-2022",'Basic Information'!$AG$25="No"),AND(B97="2022-2023",'Basic Information'!$AG$28="No"),AND(B97="2023-2024",'Basic Information'!$AG$31="Yes")), IF(MROUND(S97,10)&lt;= 250000, 0, IF(AND(MROUND(S97,10)&gt; 250000, MROUND(S97,10)&lt;= 500000), ROUND(ABS(MROUND(S97,10)- 250000)*0.05,0), IF(AND(MROUND(S97,10)&gt; 500000, MROUND(S97,10)&lt;= 1000000),  ROUND(12500+ ABS(MROUND(S97,10)- 500000)*0.2,0),  IF(MROUND(S97,10)&gt; 1000000,  ROUND(112500+ABS(MROUND(S97,10)- 1000000)*0.3,0), 0)))),IF(OR(AND(B97="2020-2021",'Basic Information'!$AG$22="Yes"),AND(B97="2021-2022",'Basic Information'!$AG$25="Yes"),AND(B97="2022-2023",'Basic Information'!$AG$28="Yes")), IF(MROUND(S97,10)&lt;= 250000, 0, IF(AND(MROUND(S97,10)&gt; 250000, MROUND(S97,10)&lt;= 500000), ROUND(ABS(MROUND(S97,10)- 250000)*0.05,0), IF(AND(MROUND(S97,10)&gt; 500000, MROUND(S97,10)&lt;= 750000),  ROUND(12500+ ABS(MROUND(S97,10)- 500000)*0.1,0), IF(AND(MROUND(S97,10)&gt; 750000, MROUND(S97,10)&lt;= 1000000),  ROUND(37500+ ABS(MROUND(S97,10)- 750000)*0.15,0),IF(AND(MROUND(S97,10)&gt; 1000000, MROUND(S97,10)&lt;= 1250000),  ROUND(75000+ ABS(MROUND(S97,10)- 1000000)*0.2,0),IF(AND(MROUND(S97,10)&gt; 1250000, MROUND(S97,10)&lt;= 1500000),  ROUND(125000+ ABS(MROUND(S97,10)- 1250000)*0.25,0), IF(MROUND(S97,10)&gt; 1500000,  ROUND(187500+ABS(MROUND(S97,10)- 1500000)*0.3,0), 0))))))),IF(AND(B97="2023-2024",'Basic Information'!$AG$31="No"), IF(MROUND(S97,10)&lt;= 300000, 0, IF(AND(MROUND(S97,10)&gt; 300000, MROUND(S97,10)&lt;= 600000), ROUND(ABS(MROUND(S97,10)- 300000)*0.05,0), IF(AND(MROUND(S97,10)&gt; 600000, MROUND(S97,10)&lt;= 900000),  ROUND(15000+ ABS(MROUND(S97,10)- 600000)*0.1,0), IF(AND(MROUND(S97,10)&gt; 900000, MROUND(S97,10)&lt;= 1200000),  ROUND(45000+ ABS(MROUND(S97,10)- 900000)*0.15,0),IF(AND(MROUND(S97,10)&gt; 1200000, MROUND(S97,10)&lt;= 1500000),  ROUND(90000+ ABS(MROUND(S97,10)- 1200000)*0.2,0), IF(MROUND(S97,10)&gt; 1500000,  ROUND(150000+ABS(MROUND(S97,10)- 1500000)*0.3,0), 0)))))),0))))))))))))))))</f>
        <v>0</v>
      </c>
      <c r="AY97" s="6">
        <f>IF(OR(B97="2013-2014",B97="2014-2015",B97="2015-2016"),IF(AND(MROUND(S97,10)&lt;=500000,MROUND(S97,10)&lt;&gt;0),IF(AX97&lt;=2000, AX97,2000),0), IF(B97="2016-2017",IF(AND(MROUND(S97,10)&lt;=500000,MROUND(S97,10)&lt;&gt;0),IF(AX97&lt;=5000, AX97,5000),0), IF(OR(B97="2017-2018",B97="2018-2019"),IF(AND(MROUND(S97,10)&lt;=350000,MROUND(S97,10)&lt;&gt;0),IF(AX97&lt;=2500, AX97,2500),0), IF(OR(B97="2019-2020",B97="2020-2021",B97="2021-2022",B97="2022-2023",AND(B97="2023-2024",'Basic Information'!$AG$31="Yes")),IF(AND(MROUND(S97,10)&lt;=500000,MROUND(S97,10)&lt;&gt;0),IF(AX97&lt;=12500, AX97,12500),0), IF(OR(AND(B97="2023-2024",'Basic Information'!$AG$31="No")),IF(AND(MROUND(S97,10)&lt;=700000,MROUND(S97,10)&lt;&gt;0),IF(AX97&lt;=25000, AX97,25000),IF(AND(MROUND(S97,10)&lt;&gt;0,(MROUND(S97,10)-700000)&lt;= AX97), AX97-(MROUND(S97,10)-700000),0)),0)))))</f>
        <v>0</v>
      </c>
      <c r="AZ97" s="6">
        <f t="shared" si="7"/>
        <v>0</v>
      </c>
      <c r="BA97" s="6">
        <f t="shared" si="8"/>
        <v>0</v>
      </c>
    </row>
    <row r="98" spans="2:53" x14ac:dyDescent="0.3">
      <c r="B98" s="536" t="str">
        <f>IF(ISBLANK('Form 10E - Old Scheme'!B98),"",'Form 10E - Old Scheme'!B98)</f>
        <v/>
      </c>
      <c r="C98" s="537"/>
      <c r="D98" s="537"/>
      <c r="E98" s="537"/>
      <c r="F98" s="538"/>
      <c r="G98" s="335">
        <f>IF(ISNUMBER('Form 10E - Old Scheme'!G98),'Form 10E - Old Scheme'!G98,0)</f>
        <v>0</v>
      </c>
      <c r="H98" s="336"/>
      <c r="I98" s="336"/>
      <c r="J98" s="336"/>
      <c r="K98" s="336"/>
      <c r="L98" s="337"/>
      <c r="M98" s="335">
        <f>IF(ISNUMBER('Form 10E - Old Scheme'!M98),'Form 10E - Old Scheme'!M98,0)</f>
        <v>0</v>
      </c>
      <c r="N98" s="336"/>
      <c r="O98" s="336"/>
      <c r="P98" s="336"/>
      <c r="Q98" s="336"/>
      <c r="R98" s="337"/>
      <c r="S98" s="335">
        <f t="shared" si="2"/>
        <v>0</v>
      </c>
      <c r="T98" s="336"/>
      <c r="U98" s="336"/>
      <c r="V98" s="336"/>
      <c r="W98" s="336"/>
      <c r="X98" s="337"/>
      <c r="Y98" s="335">
        <f t="shared" si="3"/>
        <v>0</v>
      </c>
      <c r="Z98" s="336"/>
      <c r="AA98" s="336"/>
      <c r="AB98" s="336"/>
      <c r="AC98" s="336"/>
      <c r="AD98" s="337"/>
      <c r="AE98" s="335">
        <f t="shared" si="4"/>
        <v>0</v>
      </c>
      <c r="AF98" s="336"/>
      <c r="AG98" s="336"/>
      <c r="AH98" s="336"/>
      <c r="AI98" s="336"/>
      <c r="AJ98" s="338"/>
      <c r="AK98" s="339">
        <f t="shared" si="0"/>
        <v>0</v>
      </c>
      <c r="AL98" s="340"/>
      <c r="AM98" s="340"/>
      <c r="AN98" s="340"/>
      <c r="AO98" s="340"/>
      <c r="AP98" s="341"/>
      <c r="AQ98" s="38" t="str">
        <f t="shared" si="9"/>
        <v/>
      </c>
      <c r="AT98" s="6">
        <f>IF( AND(OR(B98="2005-2006",B98="2006-2007"),$U$22&lt;&gt;"Female"),IF( MROUND(G98,10)&lt;= 100000, 0, IF(AND(MROUND(G98,10)&gt; 100000,MROUND(G98,10)&lt;= 150000),  ROUND(ABS(MROUND(G98,10)- 100000)*0.1,0), IF(AND(MROUND(G98,10)&gt; 150000, MROUND(G98,10)&lt;= 250000), ROUND(5000+ ABS(MROUND(G98,10)- 150000)*0.2,0),IF(MROUND(G98,10)&gt; 250000,  ROUND(25000+ABS(MROUND(G98,10)- 250000)*0.3,0),  0)))),IF(AND(OR(B98="2005-2006",B98="2006-2007"),$U$22="Female"),IF(MROUND(G98,10)&lt;= 135000, 0, IF(AND(MROUND(G98,10)&gt; 135000, MROUND(G98,10)&lt;= 150000), ROUND(ABS(MROUND(G98,10)- 135000)*0.1,0), IF(AND(MROUND(G98,10)&gt; 150000, MROUND(G98,10)&lt;= 250000), ROUND(1500+ ABS(MROUND(G98,10)- 150000)*0.2,0),  IF(MROUND(G98,10)&gt; 250000, ROUND(21500+ABS(MROUND(G98,10)- 250000)*0.3,0),0)))),IF(AND(B98="2007-2008",$U$22&lt;&gt;"Female"), IF(MROUND(G98,10)&lt;= 110000,  0,  IF(AND(MROUND(G98,10)&gt; 110000, MROUND(G98,10)&lt;= 150000), ROUND(ABS(MROUND(G98,10)- 110000)*0.1,0),  IF(AND(MROUND(G98,10)&gt; 150000, MROUND(G98,10)&lt;= 250000),  ROUND(4000+ ABS(MROUND(G98,10)- 150000)*0.2,0),   IF(MROUND(G98,10)&gt; 250000,   ROUND(24000+ABS(MROUND(G98,10)- 250000)*0.3,0),0)))),IF(AND(B98="2007-2008",$U$22="Female"), IF(MROUND(G98,10)&lt;= 145000, 0, IF(AND(MROUND(G98,10)&gt; 145000, MROUND(G98,10)&lt;= 150000),     ROUND(ABS(MROUND(G98,10)- 145000)*0.1,0),  IF(AND(MROUND(G98,10)&gt; 150000, MROUND(G98,10)&lt;= 250000),  ROUND(500+ ABS(MROUND(G98,10)- 150000)*0.2,0),  IF(MROUND(G98,10)&gt; 250000, ROUND(20500+ABS(MROUND(G98,10)- 250000)*0.3,0),0)))), IF(AND(B98="2008-2009",$U$22&lt;&gt;"Female"), IF(MROUND(G98,10)&lt;= 150000, 0, IF(AND(MROUND(G98,10)&gt; 150000, MROUND(G98,10)&lt;= 300000), ROUND(ABS(MROUND(G98,10)- 150000)*0.1,0), IF(AND(MROUND(G98,10)&gt; 300000, MROUND(G98,10)&lt;= 500000),  ROUND(15000+ ABS(MROUND(G98,10)- 300000)*0.2,0),  IF(MROUND(G98,10)&gt; 500000,  ROUND(55000+ABS(MROUND(G98,10)- 500000)*0.3,0),0)))), IF(AND(B98="2008-2009",$U$22="Female"), IF(MROUND(G98,10)&lt;= 180000, 0, IF(AND(MROUND(G98,10)&gt; 180000, MROUND(G98,10)&lt;= 300000), ROUND(ABS(MROUND(G98,10)- 180000)*0.1,0), IF(AND(MROUND(G98,10)&gt; 300000, MROUND(G98,10)&lt;= 500000), ROUND(12000+ ABS(MROUND(G98,10)- 300000)*0.2,0),  IF(MROUND(G98,10)&gt; 500000,  ROUND(52000+ABS(MROUND(G98,10)- 500000)*0.3,0),0)))), IF(AND(B98="2009-2010", $U$22&lt;&gt;"Female"), IF(MROUND(G98,10)&lt;= 160000, 0, IF(AND(MROUND(G98,10)&gt; 160000, MROUND(G98,10)&lt;= 300000),ROUND(ABS(MROUND(G98,10)- 160000)*0.1,0), IF(AND(MROUND(G98,10)&gt; 300000, MROUND(G98,10)&lt;= 500000),ROUND(14000+ ABS(MROUND(G98,10)- 300000)*0.2,0),  IF(MROUND(G98,10)&gt; 500000, ROUND(54000+ABS(MROUND(G98,10)- 500000)*0.3,0),0)))),IF(AND(B98="2009-2010",$U$22="Female"), IF(MROUND(G98,10)&lt;= 190000, 0, IF(AND(MROUND(G98,10)&gt; 190000, MROUND(G98,10)&lt;= 300000),ROUND(ABS(MROUND(G98,10)- 190000)*0.1,0), IF(AND(MROUND(G98,10)&gt; 300000, MROUND(G98,10)&lt;= 500000), ROUND(11000+ ABS(MROUND(G98,10)- 300000)*0.2,0),IF(MROUND(G98,10)&gt; 500000,  ROUND(51000+ABS(MROUND(G98,10)- 500000)*0.3,0),0)))), IF(AND(B98="2010-2011",$U$22&lt;&gt;"Female"), IF(MROUND(G98,10)&lt;= 160000, 0, IF(AND(MROUND(G98,10)&gt; 160000, MROUND(G98,10)&lt;= 500000), ROUND(ABS(MROUND(G98,10)- 160000)*0.1,0), IF(AND(MROUND(G98,10)&gt; 500000, MROUND(G98,10)&lt;= 800000), ROUND(34000+ ABS(MROUND(G98,10)- 500000)*0.2,0),  IF(MROUND(G98,10)&gt; 800000,  ROUND(94000+ABS(MROUND(G98,10)- 800000)*0.3,0),0)))), IF(AND(OR(B98="2010-2011",B98="2011-2012"),$U$22="Female"), IF(MROUND(G98,10)&lt;= 190000, 0, IF(AND(MROUND(G98,10)&gt; 190000, MROUND(G98,10)&lt;= 500000), ROUND(ABS(MROUND(G98,10)- 190000)*0.1,0), IF(AND(MROUND(G98,10)&gt; 500000, MROUND(G98,10)&lt;= 800000),  ROUND(31000+ ABS(MROUND(G98,10)- 500000)*0.2,0),  IF(MROUND(G98,10)&gt; 800000,  ROUND(91000+ABS(MROUND(G98,10)- 800000)*0.3,0),0)))), IF(AND(B98="2011-2012", $U$22&lt;&gt;"Female"), IF(MROUND(G98,10)&lt;= 180000, 0, IF(AND(MROUND(G98,10)&gt; 180000, MROUND(G98,10)&lt;= 500000), ROUND(ABS(MROUND(G98,10)- 180000)*0.1,0), IF(AND(MROUND(G98,10)&gt; 500000, MROUND(G98,10)&lt;= 800000),  ROUND(32000+ ABS(MROUND(G98,10)- 500000)*0.2,0),  IF(MROUND(G98,10)&gt; 800000,  ROUND(92000+ABS(MROUND(G98,10)- 800000)*0.3,0),0)))), IF(OR(B98="2012-2013",B98="2013-2014"), IF(MROUND(G98,10)&lt;= 200000, 0, IF(AND(MROUND(G98,10)&gt; 200000, MROUND(G98,10)&lt;= 500000), ROUND(ABS(MROUND(G98,10)- 200000)*0.1,0), IF(AND(MROUND(G98,10)&gt; 500000, MROUND(G98,10)&lt;= 1000000),  ROUND(30000+ ABS(MROUND(G98,10)- 500000)*0.2,0),  IF(MROUND(G98,10)&gt; 1000000,  ROUND(130000+ABS(MROUND(G98,10)- 1000000)*0.3,0),0)))), IF(OR(B98="2014-2015", B98="2015-2016",B98="2016-2017"), IF(MROUND(G98,10)&lt;= 250000, 0, IF(AND(MROUND(G98,10)&gt; 250000, MROUND(G98,10)&lt;= 500000), ROUND(ABS(MROUND(G98,10)- 250000)*0.1,0), IF(AND(MROUND(G98,10)&gt; 500000, MROUND(G98,10)&lt;= 1000000),  ROUND(25000+ ABS(MROUND(G98,10)- 500000)*0.2,0),  IF(MROUND(G98,10)&gt; 1000000,  ROUND(125000+ABS(MROUND(G98,10)- 1000000)*0.3,0), 0)))), IF(OR(B98="2017-2018",B98="2018-2019",B98="2019-2020",AND(B98="2020-2021",'Basic Information'!$AG$22="No"),AND(B98="2021-2022",'Basic Information'!$AG$25="No"),AND(B98="2022-2023",'Basic Information'!$AG$28="No"),AND(B98="2023-2024",'Basic Information'!$AG$31="Yes")), IF(MROUND(G98,10)&lt;= 250000, 0, IF(AND(MROUND(G98,10)&gt; 250000, MROUND(G98,10)&lt;= 500000), ROUND(ABS(MROUND(G98,10)- 250000)*0.05,0), IF(AND(MROUND(G98,10)&gt; 500000, MROUND(G98,10)&lt;= 1000000),  ROUND(12500+ ABS(MROUND(G98,10)- 500000)*0.2,0),  IF(MROUND(G98,10)&gt; 1000000,  ROUND(112500+ABS(MROUND(G98,10)- 1000000)*0.3,0), 0)))),IF(OR(AND(B98="2020-2021",'Basic Information'!$AG$22="Yes"),AND(B98="2021-2022",'Basic Information'!$AG$25="Yes"),AND(B98="2022-2023",'Basic Information'!$AG$28="Yes")), IF(MROUND(G98,10)&lt;= 250000, 0, IF(AND(MROUND(G98,10)&gt; 250000, MROUND(G98,10)&lt;= 500000), ROUND(ABS(MROUND(G98,10)- 250000)*0.05,0), IF(AND(MROUND(G98,10)&gt; 500000, MROUND(G98,10)&lt;= 750000),  ROUND(12500+ ABS(MROUND(G98,10)- 500000)*0.1,0), IF(AND(MROUND(G98,10)&gt; 750000, MROUND(G98,10)&lt;= 1000000),  ROUND(37500+ ABS(MROUND(G98,10)- 750000)*0.15,0),IF(AND(MROUND(G98,10)&gt; 1000000, MROUND(G98,10)&lt;= 1250000),  ROUND(75000+ ABS(MROUND(G98,10)- 1000000)*0.2,0),IF(AND(MROUND(G98,10)&gt; 1250000, MROUND(G98,10)&lt;= 1500000),  ROUND(125000+ ABS(MROUND(G98,10)- 1250000)*0.25,0), IF(MROUND(G98,10)&gt; 1500000,  ROUND(187500+ABS(MROUND(G98,10)- 1500000)*0.3,0), 0))))))),IF(AND(B98="2023-2024",'Basic Information'!$AG$31="No"), IF(MROUND(G98,10)&lt;= 300000, 0, IF(AND(MROUND(G98,10)&gt; 300000, MROUND(G98,10)&lt;= 600000), ROUND(ABS(MROUND(G98,10)- 300000)*0.05,0), IF(AND(MROUND(G98,10)&gt; 600000, MROUND(G98,10)&lt;= 900000),  ROUND(15000+ ABS(MROUND(G98,10)- 600000)*0.1,0), IF(AND(MROUND(G98,10)&gt; 900000, MROUND(G98,10)&lt;= 1200000),  ROUND(45000+ ABS(MROUND(G98,10)- 900000)*0.15,0),IF(AND(MROUND(G98,10)&gt; 1200000, MROUND(G98,10)&lt;= 1500000),  ROUND(90000+ ABS(MROUND(G98,10)- 1200000)*0.2,0), IF(MROUND(G98,10)&gt; 1500000,  ROUND(150000+ABS(MROUND(G98,10)- 1500000)*0.3,0), 0)))))),0))))))))))))))))</f>
        <v>0</v>
      </c>
      <c r="AU98" s="6">
        <f>IF(OR(B98="2013-2014",B98="2014-2015",B98="2015-2016"),IF(AND(MROUND(G98,10)&lt;=500000,MROUND(G98,10)&lt;&gt;0),IF(AT98&lt;=2000, AT98,2000),0), IF(B98="2016-2017",IF(AND(MROUND(G98,10)&lt;=500000,MROUND(G98,10)&lt;&gt;0),IF(AT98&lt;=5000, AT98,5000),0), IF(OR(B98="2017-2018",B98="2018-2019"),IF(AND(MROUND(G98,10)&lt;=350000,MROUND(G98,10)&lt;&gt;0),IF(AT98&lt;=2500, AT98,2500),0), IF(OR(B98="2019-2020",B98="2020-2021",B98="2021-2022",B98="2022-2023",AND(B98="2023-2024",'Basic Information'!$AG$31="Yes")),IF(AND(MROUND(G98,10)&lt;=500000,MROUND(G98,10)&lt;&gt;0),IF(AT98&lt;=12500, AT98,12500),0), IF(OR(AND(B98="2023-2024",'Basic Information'!$AG$31="No")),IF(AND(MROUND(G98,10)&lt;=700000,MROUND(G98,10)&lt;&gt;0),IF(AT98&lt;=25000, AT98,25000),IF(AND(MROUND(G98,10)&lt;&gt;0,(MROUND(G98,10)-700000)&lt;=AT98),AT98-(MROUND(G98,10)-700000),0)),0)))))</f>
        <v>0</v>
      </c>
      <c r="AV98" s="6">
        <f t="shared" si="5"/>
        <v>0</v>
      </c>
      <c r="AW98" s="6">
        <f t="shared" si="6"/>
        <v>0</v>
      </c>
      <c r="AX98" s="6">
        <f>IF( AND(OR(B98="2005-2006",B98="2006-2007"),$U$22&lt;&gt;"Female"),IF( MROUND(S98,10)&lt;= 100000, 0, IF(AND(MROUND(S98,10)&gt; 100000,MROUND(S98,10)&lt;= 150000),  ROUND(ABS(MROUND(S98,10)- 100000)*0.1,0), IF(AND(MROUND(S98,10)&gt; 150000, MROUND(S98,10)&lt;= 250000), ROUND(5000+ ABS(MROUND(S98,10)- 150000)*0.2,0),IF(MROUND(S98,10)&gt; 250000,  ROUND(25000+ABS(MROUND(S98,10)- 250000)*0.3,0),  0)))),IF(AND(OR(B98="2005-2006",B98="2006-2007"),$U$22="Female"),IF(MROUND(S98,10)&lt;= 135000, 0, IF(AND(MROUND(S98,10)&gt; 135000, MROUND(S98,10)&lt;= 150000), ROUND(ABS(MROUND(S98,10)- 135000)*0.1,0), IF(AND(MROUND(S98,10)&gt; 150000, MROUND(S98,10)&lt;= 250000), ROUND(1500+ ABS(MROUND(S98,10)- 150000)*0.2,0),  IF(MROUND(S98,10)&gt; 250000, ROUND(21500+ABS(MROUND(S98,10)- 250000)*0.3,0),0)))),IF(AND(B98="2007-2008",$U$22&lt;&gt;"Female"), IF(MROUND(S98,10)&lt;= 110000,  0,  IF(AND(MROUND(S98,10)&gt; 110000, MROUND(S98,10)&lt;= 150000),     ROUND(ABS(MROUND(S98,10)- 110000)*0.1,0),  IF(AND(MROUND(S98,10)&gt; 150000, MROUND(S98,10)&lt;= 250000),  ROUND(4000+ ABS(MROUND(S98,10)- 150000)*0.2,0),   IF(MROUND(S98,10)&gt; 250000,   ROUND(24000+ABS(MROUND(S98,10)- 250000)*0.3,0),0)))),IF(AND(B98="2007-2008",$U$22="Female"), IF(MROUND(S98,10)&lt;= 145000, 0, IF(AND(MROUND(S98,10)&gt; 145000, MROUND(S98,10)&lt;= 150000),     ROUND(ABS(MROUND(S98,10)- 145000)*0.1,0),  IF(AND(MROUND(S98,10)&gt; 150000, MROUND(S98,10)&lt;= 250000),  ROUND(500+ ABS(MROUND(S98,10)- 150000)*0.2,0),  IF(MROUND(S98,10)&gt; 250000, ROUND(20500+ABS(MROUND(S98,10)- 250000)*0.3,0),0)))), IF(AND(B98="2008-2009",$U$22&lt;&gt;"Female"), IF(MROUND(S98,10)&lt;= 150000, 0, IF(AND(MROUND(S98,10)&gt; 150000, MROUND(S98,10)&lt;= 300000), ROUND(ABS(MROUND(S98,10)- 150000)*0.1,0), IF(AND(MROUND(S98,10)&gt; 300000, MROUND(S98,10)&lt;= 500000),  ROUND(15000+ ABS(MROUND(S98,10)- 300000)*0.2,0),  IF(MROUND(S98,10)&gt; 500000,  ROUND(55000+ABS(MROUND(S98,10)- 500000)*0.3,0),0)))), IF(AND(B98="2008-2009",$U$22="Female"), IF(MROUND(S98,10)&lt;= 180000, 0, IF(AND(MROUND(S98,10)&gt; 180000, MROUND(S98,10)&lt;= 300000), ROUND(ABS(MROUND(S98,10)- 180000)*0.1,0), IF(AND(MROUND(S98,10)&gt; 300000, MROUND(S98,10)&lt;= 500000), ROUND(12000+ ABS(MROUND(S98,10)- 300000)*0.2,0),  IF(MROUND(S98,10)&gt; 500000,  ROUND(52000+ABS(MROUND(S98,10)- 500000)*0.3,0),0)))), IF(AND(B98="2009-2010", $U$22&lt;&gt;"Female"), IF(MROUND(S98,10)&lt;= 160000, 0, IF(AND(MROUND(S98,10)&gt; 160000, MROUND(S98,10)&lt;= 300000),ROUND(ABS(MROUND(S98,10)- 160000)*0.1,0), IF(AND(MROUND(S98,10)&gt; 300000, MROUND(S98,10)&lt;= 500000),ROUND(14000+ ABS(MROUND(S98,10)- 300000)*0.2,0),  IF(MROUND(S98,10)&gt; 500000, ROUND(54000+ABS(MROUND(S98,10)- 500000)*0.3,0),0)))),IF(AND(B98="2009-2010",$U$22="Female"), IF(MROUND(S98,10)&lt;= 190000, 0, IF(AND(MROUND(S98,10)&gt; 190000, MROUND(S98,10)&lt;= 300000),ROUND(ABS(MROUND(S98,10)- 190000)*0.1,0), IF(AND(MROUND(S98,10)&gt; 300000, MROUND(S98,10)&lt;= 500000), ROUND(11000+ ABS(MROUND(S98,10)- 300000)*0.2,0),IF(MROUND(S98,10)&gt; 500000,  ROUND(51000+ABS(MROUND(S98,10)- 500000)*0.3,0),0)))), IF(AND(B98="2010-2011",$U$22&lt;&gt;"Female"), IF(MROUND(S98,10)&lt;= 160000, 0, IF(AND(MROUND(S98,10)&gt; 160000, MROUND(S98,10)&lt;= 500000), ROUND(ABS(MROUND(S98,10)- 160000)*0.1,0), IF(AND(MROUND(S98,10)&gt; 500000, MROUND(S98,10)&lt;= 800000), ROUND(34000+ ABS(MROUND(S98,10)- 500000)*0.2,0),  IF(MROUND(S98,10)&gt; 800000,  ROUND(94000+ABS(MROUND(S98,10)- 800000)*0.3,0),0)))), IF(AND(OR(B98="2010-2011",B98="2011-2012"),$U$22="Female"), IF(MROUND(S98,10)&lt;= 190000, 0, IF(AND(MROUND(S98,10)&gt; 190000, MROUND(S98,10)&lt;= 500000), ROUND(ABS(MROUND(S98,10)- 190000)*0.1,0), IF(AND(MROUND(S98,10)&gt; 500000, MROUND(S98,10)&lt;= 800000),  ROUND(31000+ ABS(MROUND(S98,10)- 500000)*0.2,0),  IF(MROUND(S98,10)&gt; 800000,  ROUND(91000+ABS(MROUND(S98,10)- 800000)*0.3,0),0)))), IF(AND(B98="2011-2012", $U$22&lt;&gt;"Female"), IF(MROUND(S98,10)&lt;= 180000, 0, IF(AND(MROUND(S98,10)&gt; 180000, MROUND(S98,10)&lt;= 500000), ROUND(ABS(MROUND(S98,10)- 180000)*0.1,0), IF(AND(MROUND(S98,10)&gt; 500000, MROUND(S98,10)&lt;= 800000),  ROUND(32000+ ABS(MROUND(S98,10)- 500000)*0.2,0),  IF(MROUND(S98,10)&gt; 800000,  ROUND(92000+ABS(MROUND(S98,10)- 800000)*0.3,0),0)))), IF(OR(B98="2012-2013",B98="2013-2014"), IF(MROUND(S98,10)&lt;= 200000, 0, IF(AND(MROUND(S98,10)&gt; 200000, MROUND(S98,10)&lt;= 500000), ROUND(ABS(MROUND(S98,10)- 200000)*0.1,0), IF(AND(MROUND(S98,10)&gt; 500000, MROUND(S98,10)&lt;= 1000000),  ROUND(30000+ ABS(MROUND(S98,10)- 500000)*0.2,0),  IF(MROUND(S98,10)&gt; 1000000,  ROUND(130000+ABS(MROUND(S98,10)- 1000000)*0.3,0),0)))), IF(OR(B98="2014-2015", B98="2015-2016",B98="2016-2017"), IF(MROUND(S98,10)&lt;= 250000, 0, IF(AND(MROUND(S98,10)&gt; 250000, MROUND(S98,10)&lt;= 500000), ROUND(ABS(MROUND(S98,10)- 250000)*0.1,0), IF(AND(MROUND(S98,10)&gt; 500000, MROUND(S98,10)&lt;= 1000000),  ROUND(25000+ ABS(MROUND(S98,10)- 500000)*0.2,0),  IF(MROUND(S98,10)&gt; 1000000,  ROUND(125000+ABS(MROUND(S98,10)- 1000000)*0.3,0), 0)))),IF(OR(B98="2017-2018",B98="2018-2019",B98="2019-2020",AND(B98="2020-2021",'Basic Information'!$AG$22="No"),AND(B98="2021-2022",'Basic Information'!$AG$25="No"),AND(B98="2022-2023",'Basic Information'!$AG$28="No"),AND(B98="2023-2024",'Basic Information'!$AG$31="Yes")), IF(MROUND(S98,10)&lt;= 250000, 0, IF(AND(MROUND(S98,10)&gt; 250000, MROUND(S98,10)&lt;= 500000), ROUND(ABS(MROUND(S98,10)- 250000)*0.05,0), IF(AND(MROUND(S98,10)&gt; 500000, MROUND(S98,10)&lt;= 1000000),  ROUND(12500+ ABS(MROUND(S98,10)- 500000)*0.2,0),  IF(MROUND(S98,10)&gt; 1000000,  ROUND(112500+ABS(MROUND(S98,10)- 1000000)*0.3,0), 0)))),IF(OR(AND(B98="2020-2021",'Basic Information'!$AG$22="Yes"),AND(B98="2021-2022",'Basic Information'!$AG$25="Yes"),AND(B98="2022-2023",'Basic Information'!$AG$28="Yes")), IF(MROUND(S98,10)&lt;= 250000, 0, IF(AND(MROUND(S98,10)&gt; 250000, MROUND(S98,10)&lt;= 500000), ROUND(ABS(MROUND(S98,10)- 250000)*0.05,0), IF(AND(MROUND(S98,10)&gt; 500000, MROUND(S98,10)&lt;= 750000),  ROUND(12500+ ABS(MROUND(S98,10)- 500000)*0.1,0), IF(AND(MROUND(S98,10)&gt; 750000, MROUND(S98,10)&lt;= 1000000),  ROUND(37500+ ABS(MROUND(S98,10)- 750000)*0.15,0),IF(AND(MROUND(S98,10)&gt; 1000000, MROUND(S98,10)&lt;= 1250000),  ROUND(75000+ ABS(MROUND(S98,10)- 1000000)*0.2,0),IF(AND(MROUND(S98,10)&gt; 1250000, MROUND(S98,10)&lt;= 1500000),  ROUND(125000+ ABS(MROUND(S98,10)- 1250000)*0.25,0), IF(MROUND(S98,10)&gt; 1500000,  ROUND(187500+ABS(MROUND(S98,10)- 1500000)*0.3,0), 0))))))),IF(AND(B98="2023-2024",'Basic Information'!$AG$31="No"), IF(MROUND(S98,10)&lt;= 300000, 0, IF(AND(MROUND(S98,10)&gt; 300000, MROUND(S98,10)&lt;= 600000), ROUND(ABS(MROUND(S98,10)- 300000)*0.05,0), IF(AND(MROUND(S98,10)&gt; 600000, MROUND(S98,10)&lt;= 900000),  ROUND(15000+ ABS(MROUND(S98,10)- 600000)*0.1,0), IF(AND(MROUND(S98,10)&gt; 900000, MROUND(S98,10)&lt;= 1200000),  ROUND(45000+ ABS(MROUND(S98,10)- 900000)*0.15,0),IF(AND(MROUND(S98,10)&gt; 1200000, MROUND(S98,10)&lt;= 1500000),  ROUND(90000+ ABS(MROUND(S98,10)- 1200000)*0.2,0), IF(MROUND(S98,10)&gt; 1500000,  ROUND(150000+ABS(MROUND(S98,10)- 1500000)*0.3,0), 0)))))),0))))))))))))))))</f>
        <v>0</v>
      </c>
      <c r="AY98" s="6">
        <f>IF(OR(B98="2013-2014",B98="2014-2015",B98="2015-2016"),IF(AND(MROUND(S98,10)&lt;=500000,MROUND(S98,10)&lt;&gt;0),IF(AX98&lt;=2000, AX98,2000),0), IF(B98="2016-2017",IF(AND(MROUND(S98,10)&lt;=500000,MROUND(S98,10)&lt;&gt;0),IF(AX98&lt;=5000, AX98,5000),0), IF(OR(B98="2017-2018",B98="2018-2019"),IF(AND(MROUND(S98,10)&lt;=350000,MROUND(S98,10)&lt;&gt;0),IF(AX98&lt;=2500, AX98,2500),0), IF(OR(B98="2019-2020",B98="2020-2021",B98="2021-2022",B98="2022-2023",AND(B98="2023-2024",'Basic Information'!$AG$31="Yes")),IF(AND(MROUND(S98,10)&lt;=500000,MROUND(S98,10)&lt;&gt;0),IF(AX98&lt;=12500, AX98,12500),0), IF(OR(AND(B98="2023-2024",'Basic Information'!$AG$31="No")),IF(AND(MROUND(S98,10)&lt;=700000,MROUND(S98,10)&lt;&gt;0),IF(AX98&lt;=25000, AX98,25000),IF(AND(MROUND(S98,10)&lt;&gt;0,(MROUND(S98,10)-700000)&lt;= AX98), AX98-(MROUND(S98,10)-700000),0)),0)))))</f>
        <v>0</v>
      </c>
      <c r="AZ98" s="6">
        <f t="shared" si="7"/>
        <v>0</v>
      </c>
      <c r="BA98" s="6">
        <f t="shared" si="8"/>
        <v>0</v>
      </c>
    </row>
    <row r="99" spans="2:53" x14ac:dyDescent="0.3">
      <c r="B99" s="536" t="str">
        <f>IF(ISBLANK('Form 10E - Old Scheme'!B99),"",'Form 10E - Old Scheme'!B99)</f>
        <v/>
      </c>
      <c r="C99" s="537"/>
      <c r="D99" s="537"/>
      <c r="E99" s="537"/>
      <c r="F99" s="538"/>
      <c r="G99" s="335">
        <f>IF(ISNUMBER('Form 10E - Old Scheme'!G99),'Form 10E - Old Scheme'!G99,0)</f>
        <v>0</v>
      </c>
      <c r="H99" s="336"/>
      <c r="I99" s="336"/>
      <c r="J99" s="336"/>
      <c r="K99" s="336"/>
      <c r="L99" s="337"/>
      <c r="M99" s="335">
        <f>IF(ISNUMBER('Form 10E - Old Scheme'!M99),'Form 10E - Old Scheme'!M99,0)</f>
        <v>0</v>
      </c>
      <c r="N99" s="336"/>
      <c r="O99" s="336"/>
      <c r="P99" s="336"/>
      <c r="Q99" s="336"/>
      <c r="R99" s="337"/>
      <c r="S99" s="335">
        <f t="shared" si="2"/>
        <v>0</v>
      </c>
      <c r="T99" s="336"/>
      <c r="U99" s="336"/>
      <c r="V99" s="336"/>
      <c r="W99" s="336"/>
      <c r="X99" s="337"/>
      <c r="Y99" s="335">
        <f t="shared" si="3"/>
        <v>0</v>
      </c>
      <c r="Z99" s="336"/>
      <c r="AA99" s="336"/>
      <c r="AB99" s="336"/>
      <c r="AC99" s="336"/>
      <c r="AD99" s="337"/>
      <c r="AE99" s="335">
        <f t="shared" si="4"/>
        <v>0</v>
      </c>
      <c r="AF99" s="336"/>
      <c r="AG99" s="336"/>
      <c r="AH99" s="336"/>
      <c r="AI99" s="336"/>
      <c r="AJ99" s="338"/>
      <c r="AK99" s="339">
        <f t="shared" si="0"/>
        <v>0</v>
      </c>
      <c r="AL99" s="340"/>
      <c r="AM99" s="340"/>
      <c r="AN99" s="340"/>
      <c r="AO99" s="340"/>
      <c r="AP99" s="341"/>
      <c r="AQ99" s="38" t="str">
        <f t="shared" si="9"/>
        <v/>
      </c>
      <c r="AT99" s="6">
        <f>IF( AND(OR(B99="2005-2006",B99="2006-2007"),$U$22&lt;&gt;"Female"),IF( MROUND(G99,10)&lt;= 100000, 0, IF(AND(MROUND(G99,10)&gt; 100000,MROUND(G99,10)&lt;= 150000),  ROUND(ABS(MROUND(G99,10)- 100000)*0.1,0), IF(AND(MROUND(G99,10)&gt; 150000, MROUND(G99,10)&lt;= 250000), ROUND(5000+ ABS(MROUND(G99,10)- 150000)*0.2,0),IF(MROUND(G99,10)&gt; 250000,  ROUND(25000+ABS(MROUND(G99,10)- 250000)*0.3,0),  0)))),IF(AND(OR(B99="2005-2006",B99="2006-2007"),$U$22="Female"),IF(MROUND(G99,10)&lt;= 135000, 0, IF(AND(MROUND(G99,10)&gt; 135000, MROUND(G99,10)&lt;= 150000), ROUND(ABS(MROUND(G99,10)- 135000)*0.1,0), IF(AND(MROUND(G99,10)&gt; 150000, MROUND(G99,10)&lt;= 250000), ROUND(1500+ ABS(MROUND(G99,10)- 150000)*0.2,0),  IF(MROUND(G99,10)&gt; 250000, ROUND(21500+ABS(MROUND(G99,10)- 250000)*0.3,0),0)))),IF(AND(B99="2007-2008",$U$22&lt;&gt;"Female"), IF(MROUND(G99,10)&lt;= 110000,  0,  IF(AND(MROUND(G99,10)&gt; 110000, MROUND(G99,10)&lt;= 150000), ROUND(ABS(MROUND(G99,10)- 110000)*0.1,0),  IF(AND(MROUND(G99,10)&gt; 150000, MROUND(G99,10)&lt;= 250000),  ROUND(4000+ ABS(MROUND(G99,10)- 150000)*0.2,0),   IF(MROUND(G99,10)&gt; 250000,   ROUND(24000+ABS(MROUND(G99,10)- 250000)*0.3,0),0)))),IF(AND(B99="2007-2008",$U$22="Female"), IF(MROUND(G99,10)&lt;= 145000, 0, IF(AND(MROUND(G99,10)&gt; 145000, MROUND(G99,10)&lt;= 150000),     ROUND(ABS(MROUND(G99,10)- 145000)*0.1,0),  IF(AND(MROUND(G99,10)&gt; 150000, MROUND(G99,10)&lt;= 250000),  ROUND(500+ ABS(MROUND(G99,10)- 150000)*0.2,0),  IF(MROUND(G99,10)&gt; 250000, ROUND(20500+ABS(MROUND(G99,10)- 250000)*0.3,0),0)))), IF(AND(B99="2008-2009",$U$22&lt;&gt;"Female"), IF(MROUND(G99,10)&lt;= 150000, 0, IF(AND(MROUND(G99,10)&gt; 150000, MROUND(G99,10)&lt;= 300000), ROUND(ABS(MROUND(G99,10)- 150000)*0.1,0), IF(AND(MROUND(G99,10)&gt; 300000, MROUND(G99,10)&lt;= 500000),  ROUND(15000+ ABS(MROUND(G99,10)- 300000)*0.2,0),  IF(MROUND(G99,10)&gt; 500000,  ROUND(55000+ABS(MROUND(G99,10)- 500000)*0.3,0),0)))), IF(AND(B99="2008-2009",$U$22="Female"), IF(MROUND(G99,10)&lt;= 180000, 0, IF(AND(MROUND(G99,10)&gt; 180000, MROUND(G99,10)&lt;= 300000), ROUND(ABS(MROUND(G99,10)- 180000)*0.1,0), IF(AND(MROUND(G99,10)&gt; 300000, MROUND(G99,10)&lt;= 500000), ROUND(12000+ ABS(MROUND(G99,10)- 300000)*0.2,0),  IF(MROUND(G99,10)&gt; 500000,  ROUND(52000+ABS(MROUND(G99,10)- 500000)*0.3,0),0)))), IF(AND(B99="2009-2010", $U$22&lt;&gt;"Female"), IF(MROUND(G99,10)&lt;= 160000, 0, IF(AND(MROUND(G99,10)&gt; 160000, MROUND(G99,10)&lt;= 300000),ROUND(ABS(MROUND(G99,10)- 160000)*0.1,0), IF(AND(MROUND(G99,10)&gt; 300000, MROUND(G99,10)&lt;= 500000),ROUND(14000+ ABS(MROUND(G99,10)- 300000)*0.2,0),  IF(MROUND(G99,10)&gt; 500000, ROUND(54000+ABS(MROUND(G99,10)- 500000)*0.3,0),0)))),IF(AND(B99="2009-2010",$U$22="Female"), IF(MROUND(G99,10)&lt;= 190000, 0, IF(AND(MROUND(G99,10)&gt; 190000, MROUND(G99,10)&lt;= 300000),ROUND(ABS(MROUND(G99,10)- 190000)*0.1,0), IF(AND(MROUND(G99,10)&gt; 300000, MROUND(G99,10)&lt;= 500000), ROUND(11000+ ABS(MROUND(G99,10)- 300000)*0.2,0),IF(MROUND(G99,10)&gt; 500000,  ROUND(51000+ABS(MROUND(G99,10)- 500000)*0.3,0),0)))), IF(AND(B99="2010-2011",$U$22&lt;&gt;"Female"), IF(MROUND(G99,10)&lt;= 160000, 0, IF(AND(MROUND(G99,10)&gt; 160000, MROUND(G99,10)&lt;= 500000), ROUND(ABS(MROUND(G99,10)- 160000)*0.1,0), IF(AND(MROUND(G99,10)&gt; 500000, MROUND(G99,10)&lt;= 800000), ROUND(34000+ ABS(MROUND(G99,10)- 500000)*0.2,0),  IF(MROUND(G99,10)&gt; 800000,  ROUND(94000+ABS(MROUND(G99,10)- 800000)*0.3,0),0)))), IF(AND(OR(B99="2010-2011",B99="2011-2012"),$U$22="Female"), IF(MROUND(G99,10)&lt;= 190000, 0, IF(AND(MROUND(G99,10)&gt; 190000, MROUND(G99,10)&lt;= 500000), ROUND(ABS(MROUND(G99,10)- 190000)*0.1,0), IF(AND(MROUND(G99,10)&gt; 500000, MROUND(G99,10)&lt;= 800000),  ROUND(31000+ ABS(MROUND(G99,10)- 500000)*0.2,0),  IF(MROUND(G99,10)&gt; 800000,  ROUND(91000+ABS(MROUND(G99,10)- 800000)*0.3,0),0)))), IF(AND(B99="2011-2012", $U$22&lt;&gt;"Female"), IF(MROUND(G99,10)&lt;= 180000, 0, IF(AND(MROUND(G99,10)&gt; 180000, MROUND(G99,10)&lt;= 500000), ROUND(ABS(MROUND(G99,10)- 180000)*0.1,0), IF(AND(MROUND(G99,10)&gt; 500000, MROUND(G99,10)&lt;= 800000),  ROUND(32000+ ABS(MROUND(G99,10)- 500000)*0.2,0),  IF(MROUND(G99,10)&gt; 800000,  ROUND(92000+ABS(MROUND(G99,10)- 800000)*0.3,0),0)))), IF(OR(B99="2012-2013",B99="2013-2014"), IF(MROUND(G99,10)&lt;= 200000, 0, IF(AND(MROUND(G99,10)&gt; 200000, MROUND(G99,10)&lt;= 500000), ROUND(ABS(MROUND(G99,10)- 200000)*0.1,0), IF(AND(MROUND(G99,10)&gt; 500000, MROUND(G99,10)&lt;= 1000000),  ROUND(30000+ ABS(MROUND(G99,10)- 500000)*0.2,0),  IF(MROUND(G99,10)&gt; 1000000,  ROUND(130000+ABS(MROUND(G99,10)- 1000000)*0.3,0),0)))), IF(OR(B99="2014-2015", B99="2015-2016",B99="2016-2017"), IF(MROUND(G99,10)&lt;= 250000, 0, IF(AND(MROUND(G99,10)&gt; 250000, MROUND(G99,10)&lt;= 500000), ROUND(ABS(MROUND(G99,10)- 250000)*0.1,0), IF(AND(MROUND(G99,10)&gt; 500000, MROUND(G99,10)&lt;= 1000000),  ROUND(25000+ ABS(MROUND(G99,10)- 500000)*0.2,0),  IF(MROUND(G99,10)&gt; 1000000,  ROUND(125000+ABS(MROUND(G99,10)- 1000000)*0.3,0), 0)))), IF(OR(B99="2017-2018",B99="2018-2019",B99="2019-2020",AND(B99="2020-2021",'Basic Information'!$AG$22="No"),AND(B99="2021-2022",'Basic Information'!$AG$25="No"),AND(B99="2022-2023",'Basic Information'!$AG$28="No"),AND(B99="2023-2024",'Basic Information'!$AG$31="Yes")), IF(MROUND(G99,10)&lt;= 250000, 0, IF(AND(MROUND(G99,10)&gt; 250000, MROUND(G99,10)&lt;= 500000), ROUND(ABS(MROUND(G99,10)- 250000)*0.05,0), IF(AND(MROUND(G99,10)&gt; 500000, MROUND(G99,10)&lt;= 1000000),  ROUND(12500+ ABS(MROUND(G99,10)- 500000)*0.2,0),  IF(MROUND(G99,10)&gt; 1000000,  ROUND(112500+ABS(MROUND(G99,10)- 1000000)*0.3,0), 0)))),IF(OR(AND(B99="2020-2021",'Basic Information'!$AG$22="Yes"),AND(B99="2021-2022",'Basic Information'!$AG$25="Yes"),AND(B99="2022-2023",'Basic Information'!$AG$28="Yes")), IF(MROUND(G99,10)&lt;= 250000, 0, IF(AND(MROUND(G99,10)&gt; 250000, MROUND(G99,10)&lt;= 500000), ROUND(ABS(MROUND(G99,10)- 250000)*0.05,0), IF(AND(MROUND(G99,10)&gt; 500000, MROUND(G99,10)&lt;= 750000),  ROUND(12500+ ABS(MROUND(G99,10)- 500000)*0.1,0), IF(AND(MROUND(G99,10)&gt; 750000, MROUND(G99,10)&lt;= 1000000),  ROUND(37500+ ABS(MROUND(G99,10)- 750000)*0.15,0),IF(AND(MROUND(G99,10)&gt; 1000000, MROUND(G99,10)&lt;= 1250000),  ROUND(75000+ ABS(MROUND(G99,10)- 1000000)*0.2,0),IF(AND(MROUND(G99,10)&gt; 1250000, MROUND(G99,10)&lt;= 1500000),  ROUND(125000+ ABS(MROUND(G99,10)- 1250000)*0.25,0), IF(MROUND(G99,10)&gt; 1500000,  ROUND(187500+ABS(MROUND(G99,10)- 1500000)*0.3,0), 0))))))),IF(AND(B99="2023-2024",'Basic Information'!$AG$31="No"), IF(MROUND(G99,10)&lt;= 300000, 0, IF(AND(MROUND(G99,10)&gt; 300000, MROUND(G99,10)&lt;= 600000), ROUND(ABS(MROUND(G99,10)- 300000)*0.05,0), IF(AND(MROUND(G99,10)&gt; 600000, MROUND(G99,10)&lt;= 900000),  ROUND(15000+ ABS(MROUND(G99,10)- 600000)*0.1,0), IF(AND(MROUND(G99,10)&gt; 900000, MROUND(G99,10)&lt;= 1200000),  ROUND(45000+ ABS(MROUND(G99,10)- 900000)*0.15,0),IF(AND(MROUND(G99,10)&gt; 1200000, MROUND(G99,10)&lt;= 1500000),  ROUND(90000+ ABS(MROUND(G99,10)- 1200000)*0.2,0), IF(MROUND(G99,10)&gt; 1500000,  ROUND(150000+ABS(MROUND(G99,10)- 1500000)*0.3,0), 0)))))),0))))))))))))))))</f>
        <v>0</v>
      </c>
      <c r="AU99" s="6">
        <f>IF(OR(B99="2013-2014",B99="2014-2015",B99="2015-2016"),IF(AND(MROUND(G99,10)&lt;=500000,MROUND(G99,10)&lt;&gt;0),IF(AT99&lt;=2000, AT99,2000),0), IF(B99="2016-2017",IF(AND(MROUND(G99,10)&lt;=500000,MROUND(G99,10)&lt;&gt;0),IF(AT99&lt;=5000, AT99,5000),0), IF(OR(B99="2017-2018",B99="2018-2019"),IF(AND(MROUND(G99,10)&lt;=350000,MROUND(G99,10)&lt;&gt;0),IF(AT99&lt;=2500, AT99,2500),0), IF(OR(B99="2019-2020",B99="2020-2021",B99="2021-2022",B99="2022-2023",AND(B99="2023-2024",'Basic Information'!$AG$31="Yes")),IF(AND(MROUND(G99,10)&lt;=500000,MROUND(G99,10)&lt;&gt;0),IF(AT99&lt;=12500, AT99,12500),0), IF(OR(AND(B99="2023-2024",'Basic Information'!$AG$31="No")),IF(AND(MROUND(G99,10)&lt;=700000,MROUND(G99,10)&lt;&gt;0),IF(AT99&lt;=25000, AT99,25000),IF(AND(MROUND(G99,10)&lt;&gt;0,(MROUND(G99,10)-700000)&lt;=AT99),AT99-(MROUND(G99,10)-700000),0)),0)))))</f>
        <v>0</v>
      </c>
      <c r="AV99" s="6">
        <f t="shared" si="5"/>
        <v>0</v>
      </c>
      <c r="AW99" s="6">
        <f t="shared" si="6"/>
        <v>0</v>
      </c>
      <c r="AX99" s="6">
        <f>IF( AND(OR(B99="2005-2006",B99="2006-2007"),$U$22&lt;&gt;"Female"),IF( MROUND(S99,10)&lt;= 100000, 0, IF(AND(MROUND(S99,10)&gt; 100000,MROUND(S99,10)&lt;= 150000),  ROUND(ABS(MROUND(S99,10)- 100000)*0.1,0), IF(AND(MROUND(S99,10)&gt; 150000, MROUND(S99,10)&lt;= 250000), ROUND(5000+ ABS(MROUND(S99,10)- 150000)*0.2,0),IF(MROUND(S99,10)&gt; 250000,  ROUND(25000+ABS(MROUND(S99,10)- 250000)*0.3,0),  0)))),IF(AND(OR(B99="2005-2006",B99="2006-2007"),$U$22="Female"),IF(MROUND(S99,10)&lt;= 135000, 0, IF(AND(MROUND(S99,10)&gt; 135000, MROUND(S99,10)&lt;= 150000), ROUND(ABS(MROUND(S99,10)- 135000)*0.1,0), IF(AND(MROUND(S99,10)&gt; 150000, MROUND(S99,10)&lt;= 250000), ROUND(1500+ ABS(MROUND(S99,10)- 150000)*0.2,0),  IF(MROUND(S99,10)&gt; 250000, ROUND(21500+ABS(MROUND(S99,10)- 250000)*0.3,0),0)))),IF(AND(B99="2007-2008",$U$22&lt;&gt;"Female"), IF(MROUND(S99,10)&lt;= 110000,  0,  IF(AND(MROUND(S99,10)&gt; 110000, MROUND(S99,10)&lt;= 150000),     ROUND(ABS(MROUND(S99,10)- 110000)*0.1,0),  IF(AND(MROUND(S99,10)&gt; 150000, MROUND(S99,10)&lt;= 250000),  ROUND(4000+ ABS(MROUND(S99,10)- 150000)*0.2,0),   IF(MROUND(S99,10)&gt; 250000,   ROUND(24000+ABS(MROUND(S99,10)- 250000)*0.3,0),0)))),IF(AND(B99="2007-2008",$U$22="Female"), IF(MROUND(S99,10)&lt;= 145000, 0, IF(AND(MROUND(S99,10)&gt; 145000, MROUND(S99,10)&lt;= 150000),     ROUND(ABS(MROUND(S99,10)- 145000)*0.1,0),  IF(AND(MROUND(S99,10)&gt; 150000, MROUND(S99,10)&lt;= 250000),  ROUND(500+ ABS(MROUND(S99,10)- 150000)*0.2,0),  IF(MROUND(S99,10)&gt; 250000, ROUND(20500+ABS(MROUND(S99,10)- 250000)*0.3,0),0)))), IF(AND(B99="2008-2009",$U$22&lt;&gt;"Female"), IF(MROUND(S99,10)&lt;= 150000, 0, IF(AND(MROUND(S99,10)&gt; 150000, MROUND(S99,10)&lt;= 300000), ROUND(ABS(MROUND(S99,10)- 150000)*0.1,0), IF(AND(MROUND(S99,10)&gt; 300000, MROUND(S99,10)&lt;= 500000),  ROUND(15000+ ABS(MROUND(S99,10)- 300000)*0.2,0),  IF(MROUND(S99,10)&gt; 500000,  ROUND(55000+ABS(MROUND(S99,10)- 500000)*0.3,0),0)))), IF(AND(B99="2008-2009",$U$22="Female"), IF(MROUND(S99,10)&lt;= 180000, 0, IF(AND(MROUND(S99,10)&gt; 180000, MROUND(S99,10)&lt;= 300000), ROUND(ABS(MROUND(S99,10)- 180000)*0.1,0), IF(AND(MROUND(S99,10)&gt; 300000, MROUND(S99,10)&lt;= 500000), ROUND(12000+ ABS(MROUND(S99,10)- 300000)*0.2,0),  IF(MROUND(S99,10)&gt; 500000,  ROUND(52000+ABS(MROUND(S99,10)- 500000)*0.3,0),0)))), IF(AND(B99="2009-2010", $U$22&lt;&gt;"Female"), IF(MROUND(S99,10)&lt;= 160000, 0, IF(AND(MROUND(S99,10)&gt; 160000, MROUND(S99,10)&lt;= 300000),ROUND(ABS(MROUND(S99,10)- 160000)*0.1,0), IF(AND(MROUND(S99,10)&gt; 300000, MROUND(S99,10)&lt;= 500000),ROUND(14000+ ABS(MROUND(S99,10)- 300000)*0.2,0),  IF(MROUND(S99,10)&gt; 500000, ROUND(54000+ABS(MROUND(S99,10)- 500000)*0.3,0),0)))),IF(AND(B99="2009-2010",$U$22="Female"), IF(MROUND(S99,10)&lt;= 190000, 0, IF(AND(MROUND(S99,10)&gt; 190000, MROUND(S99,10)&lt;= 300000),ROUND(ABS(MROUND(S99,10)- 190000)*0.1,0), IF(AND(MROUND(S99,10)&gt; 300000, MROUND(S99,10)&lt;= 500000), ROUND(11000+ ABS(MROUND(S99,10)- 300000)*0.2,0),IF(MROUND(S99,10)&gt; 500000,  ROUND(51000+ABS(MROUND(S99,10)- 500000)*0.3,0),0)))), IF(AND(B99="2010-2011",$U$22&lt;&gt;"Female"), IF(MROUND(S99,10)&lt;= 160000, 0, IF(AND(MROUND(S99,10)&gt; 160000, MROUND(S99,10)&lt;= 500000), ROUND(ABS(MROUND(S99,10)- 160000)*0.1,0), IF(AND(MROUND(S99,10)&gt; 500000, MROUND(S99,10)&lt;= 800000), ROUND(34000+ ABS(MROUND(S99,10)- 500000)*0.2,0),  IF(MROUND(S99,10)&gt; 800000,  ROUND(94000+ABS(MROUND(S99,10)- 800000)*0.3,0),0)))), IF(AND(OR(B99="2010-2011",B99="2011-2012"),$U$22="Female"), IF(MROUND(S99,10)&lt;= 190000, 0, IF(AND(MROUND(S99,10)&gt; 190000, MROUND(S99,10)&lt;= 500000), ROUND(ABS(MROUND(S99,10)- 190000)*0.1,0), IF(AND(MROUND(S99,10)&gt; 500000, MROUND(S99,10)&lt;= 800000),  ROUND(31000+ ABS(MROUND(S99,10)- 500000)*0.2,0),  IF(MROUND(S99,10)&gt; 800000,  ROUND(91000+ABS(MROUND(S99,10)- 800000)*0.3,0),0)))), IF(AND(B99="2011-2012", $U$22&lt;&gt;"Female"), IF(MROUND(S99,10)&lt;= 180000, 0, IF(AND(MROUND(S99,10)&gt; 180000, MROUND(S99,10)&lt;= 500000), ROUND(ABS(MROUND(S99,10)- 180000)*0.1,0), IF(AND(MROUND(S99,10)&gt; 500000, MROUND(S99,10)&lt;= 800000),  ROUND(32000+ ABS(MROUND(S99,10)- 500000)*0.2,0),  IF(MROUND(S99,10)&gt; 800000,  ROUND(92000+ABS(MROUND(S99,10)- 800000)*0.3,0),0)))), IF(OR(B99="2012-2013",B99="2013-2014"), IF(MROUND(S99,10)&lt;= 200000, 0, IF(AND(MROUND(S99,10)&gt; 200000, MROUND(S99,10)&lt;= 500000), ROUND(ABS(MROUND(S99,10)- 200000)*0.1,0), IF(AND(MROUND(S99,10)&gt; 500000, MROUND(S99,10)&lt;= 1000000),  ROUND(30000+ ABS(MROUND(S99,10)- 500000)*0.2,0),  IF(MROUND(S99,10)&gt; 1000000,  ROUND(130000+ABS(MROUND(S99,10)- 1000000)*0.3,0),0)))), IF(OR(B99="2014-2015", B99="2015-2016",B99="2016-2017"), IF(MROUND(S99,10)&lt;= 250000, 0, IF(AND(MROUND(S99,10)&gt; 250000, MROUND(S99,10)&lt;= 500000), ROUND(ABS(MROUND(S99,10)- 250000)*0.1,0), IF(AND(MROUND(S99,10)&gt; 500000, MROUND(S99,10)&lt;= 1000000),  ROUND(25000+ ABS(MROUND(S99,10)- 500000)*0.2,0),  IF(MROUND(S99,10)&gt; 1000000,  ROUND(125000+ABS(MROUND(S99,10)- 1000000)*0.3,0), 0)))),IF(OR(B99="2017-2018",B99="2018-2019",B99="2019-2020",AND(B99="2020-2021",'Basic Information'!$AG$22="No"),AND(B99="2021-2022",'Basic Information'!$AG$25="No"),AND(B99="2022-2023",'Basic Information'!$AG$28="No"),AND(B99="2023-2024",'Basic Information'!$AG$31="Yes")), IF(MROUND(S99,10)&lt;= 250000, 0, IF(AND(MROUND(S99,10)&gt; 250000, MROUND(S99,10)&lt;= 500000), ROUND(ABS(MROUND(S99,10)- 250000)*0.05,0), IF(AND(MROUND(S99,10)&gt; 500000, MROUND(S99,10)&lt;= 1000000),  ROUND(12500+ ABS(MROUND(S99,10)- 500000)*0.2,0),  IF(MROUND(S99,10)&gt; 1000000,  ROUND(112500+ABS(MROUND(S99,10)- 1000000)*0.3,0), 0)))),IF(OR(AND(B99="2020-2021",'Basic Information'!$AG$22="Yes"),AND(B99="2021-2022",'Basic Information'!$AG$25="Yes"),AND(B99="2022-2023",'Basic Information'!$AG$28="Yes")), IF(MROUND(S99,10)&lt;= 250000, 0, IF(AND(MROUND(S99,10)&gt; 250000, MROUND(S99,10)&lt;= 500000), ROUND(ABS(MROUND(S99,10)- 250000)*0.05,0), IF(AND(MROUND(S99,10)&gt; 500000, MROUND(S99,10)&lt;= 750000),  ROUND(12500+ ABS(MROUND(S99,10)- 500000)*0.1,0), IF(AND(MROUND(S99,10)&gt; 750000, MROUND(S99,10)&lt;= 1000000),  ROUND(37500+ ABS(MROUND(S99,10)- 750000)*0.15,0),IF(AND(MROUND(S99,10)&gt; 1000000, MROUND(S99,10)&lt;= 1250000),  ROUND(75000+ ABS(MROUND(S99,10)- 1000000)*0.2,0),IF(AND(MROUND(S99,10)&gt; 1250000, MROUND(S99,10)&lt;= 1500000),  ROUND(125000+ ABS(MROUND(S99,10)- 1250000)*0.25,0), IF(MROUND(S99,10)&gt; 1500000,  ROUND(187500+ABS(MROUND(S99,10)- 1500000)*0.3,0), 0))))))),IF(AND(B99="2023-2024",'Basic Information'!$AG$31="No"), IF(MROUND(S99,10)&lt;= 300000, 0, IF(AND(MROUND(S99,10)&gt; 300000, MROUND(S99,10)&lt;= 600000), ROUND(ABS(MROUND(S99,10)- 300000)*0.05,0), IF(AND(MROUND(S99,10)&gt; 600000, MROUND(S99,10)&lt;= 900000),  ROUND(15000+ ABS(MROUND(S99,10)- 600000)*0.1,0), IF(AND(MROUND(S99,10)&gt; 900000, MROUND(S99,10)&lt;= 1200000),  ROUND(45000+ ABS(MROUND(S99,10)- 900000)*0.15,0),IF(AND(MROUND(S99,10)&gt; 1200000, MROUND(S99,10)&lt;= 1500000),  ROUND(90000+ ABS(MROUND(S99,10)- 1200000)*0.2,0), IF(MROUND(S99,10)&gt; 1500000,  ROUND(150000+ABS(MROUND(S99,10)- 1500000)*0.3,0), 0)))))),0))))))))))))))))</f>
        <v>0</v>
      </c>
      <c r="AY99" s="6">
        <f>IF(OR(B99="2013-2014",B99="2014-2015",B99="2015-2016"),IF(AND(MROUND(S99,10)&lt;=500000,MROUND(S99,10)&lt;&gt;0),IF(AX99&lt;=2000, AX99,2000),0), IF(B99="2016-2017",IF(AND(MROUND(S99,10)&lt;=500000,MROUND(S99,10)&lt;&gt;0),IF(AX99&lt;=5000, AX99,5000),0), IF(OR(B99="2017-2018",B99="2018-2019"),IF(AND(MROUND(S99,10)&lt;=350000,MROUND(S99,10)&lt;&gt;0),IF(AX99&lt;=2500, AX99,2500),0), IF(OR(B99="2019-2020",B99="2020-2021",B99="2021-2022",B99="2022-2023",AND(B99="2023-2024",'Basic Information'!$AG$31="Yes")),IF(AND(MROUND(S99,10)&lt;=500000,MROUND(S99,10)&lt;&gt;0),IF(AX99&lt;=12500, AX99,12500),0), IF(OR(AND(B99="2023-2024",'Basic Information'!$AG$31="No")),IF(AND(MROUND(S99,10)&lt;=700000,MROUND(S99,10)&lt;&gt;0),IF(AX99&lt;=25000, AX99,25000),IF(AND(MROUND(S99,10)&lt;&gt;0,(MROUND(S99,10)-700000)&lt;= AX99), AX99-(MROUND(S99,10)-700000),0)),0)))))</f>
        <v>0</v>
      </c>
      <c r="AZ99" s="6">
        <f t="shared" si="7"/>
        <v>0</v>
      </c>
      <c r="BA99" s="6">
        <f t="shared" si="8"/>
        <v>0</v>
      </c>
    </row>
    <row r="100" spans="2:53" x14ac:dyDescent="0.3">
      <c r="B100" s="536" t="str">
        <f>IF(ISBLANK('Form 10E - Old Scheme'!B100),"",'Form 10E - Old Scheme'!B100)</f>
        <v/>
      </c>
      <c r="C100" s="537"/>
      <c r="D100" s="537"/>
      <c r="E100" s="537"/>
      <c r="F100" s="538"/>
      <c r="G100" s="335">
        <f>IF(ISNUMBER('Form 10E - Old Scheme'!G100),'Form 10E - Old Scheme'!G100,0)</f>
        <v>0</v>
      </c>
      <c r="H100" s="336"/>
      <c r="I100" s="336"/>
      <c r="J100" s="336"/>
      <c r="K100" s="336"/>
      <c r="L100" s="337"/>
      <c r="M100" s="335">
        <f>IF(ISNUMBER('Form 10E - Old Scheme'!M100),'Form 10E - Old Scheme'!M100,0)</f>
        <v>0</v>
      </c>
      <c r="N100" s="336"/>
      <c r="O100" s="336"/>
      <c r="P100" s="336"/>
      <c r="Q100" s="336"/>
      <c r="R100" s="337"/>
      <c r="S100" s="335">
        <f t="shared" si="2"/>
        <v>0</v>
      </c>
      <c r="T100" s="336"/>
      <c r="U100" s="336"/>
      <c r="V100" s="336"/>
      <c r="W100" s="336"/>
      <c r="X100" s="337"/>
      <c r="Y100" s="335">
        <f t="shared" si="3"/>
        <v>0</v>
      </c>
      <c r="Z100" s="336"/>
      <c r="AA100" s="336"/>
      <c r="AB100" s="336"/>
      <c r="AC100" s="336"/>
      <c r="AD100" s="337"/>
      <c r="AE100" s="335">
        <f t="shared" si="4"/>
        <v>0</v>
      </c>
      <c r="AF100" s="336"/>
      <c r="AG100" s="336"/>
      <c r="AH100" s="336"/>
      <c r="AI100" s="336"/>
      <c r="AJ100" s="338"/>
      <c r="AK100" s="339">
        <f t="shared" ref="AK100" si="10">ABS(AE100-Y100)</f>
        <v>0</v>
      </c>
      <c r="AL100" s="340"/>
      <c r="AM100" s="340"/>
      <c r="AN100" s="340"/>
      <c r="AO100" s="340"/>
      <c r="AP100" s="341"/>
      <c r="AQ100" s="38" t="str">
        <f t="shared" ref="AQ100" si="11">IF(AND(OR(NOT(ISBLANK(G100)),NOT(ISBLANK(M100))),OR(ISBLANK(B100),B100="Select")),"Please select a Financial Year","")</f>
        <v/>
      </c>
      <c r="AT100" s="6">
        <f>IF( AND(OR(B100="2005-2006",B100="2006-2007"),$U$22&lt;&gt;"Female"),IF( MROUND(G100,10)&lt;= 100000, 0, IF(AND(MROUND(G100,10)&gt; 100000,MROUND(G100,10)&lt;= 150000),  ROUND(ABS(MROUND(G100,10)- 100000)*0.1,0), IF(AND(MROUND(G100,10)&gt; 150000, MROUND(G100,10)&lt;= 250000), ROUND(5000+ ABS(MROUND(G100,10)- 150000)*0.2,0),IF(MROUND(G100,10)&gt; 250000,  ROUND(25000+ABS(MROUND(G100,10)- 250000)*0.3,0),  0)))),IF(AND(OR(B100="2005-2006",B100="2006-2007"),$U$22="Female"),IF(MROUND(G100,10)&lt;= 135000, 0, IF(AND(MROUND(G100,10)&gt; 135000, MROUND(G100,10)&lt;= 150000), ROUND(ABS(MROUND(G100,10)- 135000)*0.1,0), IF(AND(MROUND(G100,10)&gt; 150000, MROUND(G100,10)&lt;= 250000), ROUND(1500+ ABS(MROUND(G100,10)- 150000)*0.2,0),  IF(MROUND(G100,10)&gt; 250000, ROUND(21500+ABS(MROUND(G100,10)- 250000)*0.3,0),0)))),IF(AND(B100="2007-2008",$U$22&lt;&gt;"Female"), IF(MROUND(G100,10)&lt;= 110000,  0,  IF(AND(MROUND(G100,10)&gt; 110000, MROUND(G100,10)&lt;= 150000), ROUND(ABS(MROUND(G100,10)- 110000)*0.1,0),  IF(AND(MROUND(G100,10)&gt; 150000, MROUND(G100,10)&lt;= 250000),  ROUND(4000+ ABS(MROUND(G100,10)- 150000)*0.2,0),   IF(MROUND(G100,10)&gt; 250000,   ROUND(24000+ABS(MROUND(G100,10)- 250000)*0.3,0),0)))),IF(AND(B100="2007-2008",$U$22="Female"), IF(MROUND(G100,10)&lt;= 145000, 0, IF(AND(MROUND(G100,10)&gt; 145000, MROUND(G100,10)&lt;= 150000),     ROUND(ABS(MROUND(G100,10)- 145000)*0.1,0),  IF(AND(MROUND(G100,10)&gt; 150000, MROUND(G100,10)&lt;= 250000),  ROUND(500+ ABS(MROUND(G100,10)- 150000)*0.2,0),  IF(MROUND(G100,10)&gt; 250000, ROUND(20500+ABS(MROUND(G100,10)- 250000)*0.3,0),0)))), IF(AND(B100="2008-2009",$U$22&lt;&gt;"Female"), IF(MROUND(G100,10)&lt;= 150000, 0, IF(AND(MROUND(G100,10)&gt; 150000, MROUND(G100,10)&lt;= 300000), ROUND(ABS(MROUND(G100,10)- 150000)*0.1,0), IF(AND(MROUND(G100,10)&gt; 300000, MROUND(G100,10)&lt;= 500000),  ROUND(15000+ ABS(MROUND(G100,10)- 300000)*0.2,0),  IF(MROUND(G100,10)&gt; 500000,  ROUND(55000+ABS(MROUND(G100,10)- 500000)*0.3,0),0)))), IF(AND(B100="2008-2009",$U$22="Female"), IF(MROUND(G100,10)&lt;= 180000, 0, IF(AND(MROUND(G100,10)&gt; 180000, MROUND(G100,10)&lt;= 300000), ROUND(ABS(MROUND(G100,10)- 180000)*0.1,0), IF(AND(MROUND(G100,10)&gt; 300000, MROUND(G100,10)&lt;= 500000), ROUND(12000+ ABS(MROUND(G100,10)- 300000)*0.2,0),  IF(MROUND(G100,10)&gt; 500000,  ROUND(52000+ABS(MROUND(G100,10)- 500000)*0.3,0),0)))), IF(AND(B100="2009-2010", $U$22&lt;&gt;"Female"), IF(MROUND(G100,10)&lt;= 160000, 0, IF(AND(MROUND(G100,10)&gt; 160000, MROUND(G100,10)&lt;= 300000),ROUND(ABS(MROUND(G100,10)- 160000)*0.1,0), IF(AND(MROUND(G100,10)&gt; 300000, MROUND(G100,10)&lt;= 500000),ROUND(14000+ ABS(MROUND(G100,10)- 300000)*0.2,0),  IF(MROUND(G100,10)&gt; 500000, ROUND(54000+ABS(MROUND(G100,10)- 500000)*0.3,0),0)))),IF(AND(B100="2009-2010",$U$22="Female"), IF(MROUND(G100,10)&lt;= 190000, 0, IF(AND(MROUND(G100,10)&gt; 190000, MROUND(G100,10)&lt;= 300000),ROUND(ABS(MROUND(G100,10)- 190000)*0.1,0), IF(AND(MROUND(G100,10)&gt; 300000, MROUND(G100,10)&lt;= 500000), ROUND(11000+ ABS(MROUND(G100,10)- 300000)*0.2,0),IF(MROUND(G100,10)&gt; 500000,  ROUND(51000+ABS(MROUND(G100,10)- 500000)*0.3,0),0)))), IF(AND(B100="2010-2011",$U$22&lt;&gt;"Female"), IF(MROUND(G100,10)&lt;= 160000, 0, IF(AND(MROUND(G100,10)&gt; 160000, MROUND(G100,10)&lt;= 500000), ROUND(ABS(MROUND(G100,10)- 160000)*0.1,0), IF(AND(MROUND(G100,10)&gt; 500000, MROUND(G100,10)&lt;= 800000), ROUND(34000+ ABS(MROUND(G100,10)- 500000)*0.2,0),  IF(MROUND(G100,10)&gt; 800000,  ROUND(94000+ABS(MROUND(G100,10)- 800000)*0.3,0),0)))), IF(AND(OR(B100="2010-2011",B100="2011-2012"),$U$22="Female"), IF(MROUND(G100,10)&lt;= 190000, 0, IF(AND(MROUND(G100,10)&gt; 190000, MROUND(G100,10)&lt;= 500000), ROUND(ABS(MROUND(G100,10)- 190000)*0.1,0), IF(AND(MROUND(G100,10)&gt; 500000, MROUND(G100,10)&lt;= 800000),  ROUND(31000+ ABS(MROUND(G100,10)- 500000)*0.2,0),  IF(MROUND(G100,10)&gt; 800000,  ROUND(91000+ABS(MROUND(G100,10)- 800000)*0.3,0),0)))), IF(AND(B100="2011-2012", $U$22&lt;&gt;"Female"), IF(MROUND(G100,10)&lt;= 180000, 0, IF(AND(MROUND(G100,10)&gt; 180000, MROUND(G100,10)&lt;= 500000), ROUND(ABS(MROUND(G100,10)- 180000)*0.1,0), IF(AND(MROUND(G100,10)&gt; 500000, MROUND(G100,10)&lt;= 800000),  ROUND(32000+ ABS(MROUND(G100,10)- 500000)*0.2,0),  IF(MROUND(G100,10)&gt; 800000,  ROUND(92000+ABS(MROUND(G100,10)- 800000)*0.3,0),0)))), IF(OR(B100="2012-2013",B100="2013-2014"), IF(MROUND(G100,10)&lt;= 200000, 0, IF(AND(MROUND(G100,10)&gt; 200000, MROUND(G100,10)&lt;= 500000), ROUND(ABS(MROUND(G100,10)- 200000)*0.1,0), IF(AND(MROUND(G100,10)&gt; 500000, MROUND(G100,10)&lt;= 1000000),  ROUND(30000+ ABS(MROUND(G100,10)- 500000)*0.2,0),  IF(MROUND(G100,10)&gt; 1000000,  ROUND(130000+ABS(MROUND(G100,10)- 1000000)*0.3,0),0)))), IF(OR(B100="2014-2015", B100="2015-2016",B100="2016-2017"), IF(MROUND(G100,10)&lt;= 250000, 0, IF(AND(MROUND(G100,10)&gt; 250000, MROUND(G100,10)&lt;= 500000), ROUND(ABS(MROUND(G100,10)- 250000)*0.1,0), IF(AND(MROUND(G100,10)&gt; 500000, MROUND(G100,10)&lt;= 1000000),  ROUND(25000+ ABS(MROUND(G100,10)- 500000)*0.2,0),  IF(MROUND(G100,10)&gt; 1000000,  ROUND(125000+ABS(MROUND(G100,10)- 1000000)*0.3,0), 0)))), IF(OR(B100="2017-2018",B100="2018-2019",B100="2019-2020",AND(B100="2020-2021",'Basic Information'!$AG$22="No"),AND(B100="2021-2022",'Basic Information'!$AG$25="No"),AND(B100="2022-2023",'Basic Information'!$AG$28="No"),AND(B100="2023-2024",'Basic Information'!$AG$31="Yes")), IF(MROUND(G100,10)&lt;= 250000, 0, IF(AND(MROUND(G100,10)&gt; 250000, MROUND(G100,10)&lt;= 500000), ROUND(ABS(MROUND(G100,10)- 250000)*0.05,0), IF(AND(MROUND(G100,10)&gt; 500000, MROUND(G100,10)&lt;= 1000000),  ROUND(12500+ ABS(MROUND(G100,10)- 500000)*0.2,0),  IF(MROUND(G100,10)&gt; 1000000,  ROUND(112500+ABS(MROUND(G100,10)- 1000000)*0.3,0), 0)))),IF(OR(AND(B100="2020-2021",'Basic Information'!$AG$22="Yes"),AND(B100="2021-2022",'Basic Information'!$AG$25="Yes"),AND(B100="2022-2023",'Basic Information'!$AG$28="Yes")), IF(MROUND(G100,10)&lt;= 250000, 0, IF(AND(MROUND(G100,10)&gt; 250000, MROUND(G100,10)&lt;= 500000), ROUND(ABS(MROUND(G100,10)- 250000)*0.05,0), IF(AND(MROUND(G100,10)&gt; 500000, MROUND(G100,10)&lt;= 750000),  ROUND(12500+ ABS(MROUND(G100,10)- 500000)*0.1,0), IF(AND(MROUND(G100,10)&gt; 750000, MROUND(G100,10)&lt;= 1000000),  ROUND(37500+ ABS(MROUND(G100,10)- 750000)*0.15,0),IF(AND(MROUND(G100,10)&gt; 1000000, MROUND(G100,10)&lt;= 1250000),  ROUND(75000+ ABS(MROUND(G100,10)- 1000000)*0.2,0),IF(AND(MROUND(G100,10)&gt; 1250000, MROUND(G100,10)&lt;= 1500000),  ROUND(125000+ ABS(MROUND(G100,10)- 1250000)*0.25,0), IF(MROUND(G100,10)&gt; 1500000,  ROUND(187500+ABS(MROUND(G100,10)- 1500000)*0.3,0), 0))))))),IF(AND(B100="2023-2024",'Basic Information'!$AG$31="No"), IF(MROUND(G100,10)&lt;= 300000, 0, IF(AND(MROUND(G100,10)&gt; 300000, MROUND(G100,10)&lt;= 600000), ROUND(ABS(MROUND(G100,10)- 300000)*0.05,0), IF(AND(MROUND(G100,10)&gt; 600000, MROUND(G100,10)&lt;= 900000),  ROUND(15000+ ABS(MROUND(G100,10)- 600000)*0.1,0), IF(AND(MROUND(G100,10)&gt; 900000, MROUND(G100,10)&lt;= 1200000),  ROUND(45000+ ABS(MROUND(G100,10)- 900000)*0.15,0),IF(AND(MROUND(G100,10)&gt; 1200000, MROUND(G100,10)&lt;= 1500000),  ROUND(90000+ ABS(MROUND(G100,10)- 1200000)*0.2,0), IF(MROUND(G100,10)&gt; 1500000,  ROUND(150000+ABS(MROUND(G100,10)- 1500000)*0.3,0), 0)))))),0))))))))))))))))</f>
        <v>0</v>
      </c>
      <c r="AU100" s="6">
        <f>IF(OR(B100="2013-2014",B100="2014-2015",B100="2015-2016"),IF(AND(MROUND(G100,10)&lt;=500000,MROUND(G100,10)&lt;&gt;0),IF(AT100&lt;=2000, AT100,2000),0), IF(B100="2016-2017",IF(AND(MROUND(G100,10)&lt;=500000,MROUND(G100,10)&lt;&gt;0),IF(AT100&lt;=5000, AT100,5000),0), IF(OR(B100="2017-2018",B100="2018-2019"),IF(AND(MROUND(G100,10)&lt;=350000,MROUND(G100,10)&lt;&gt;0),IF(AT100&lt;=2500, AT100,2500),0), IF(OR(B100="2019-2020",B100="2020-2021",B100="2021-2022",B100="2022-2023",AND(B100="2023-2024",'Basic Information'!$AG$31="Yes")),IF(AND(MROUND(G100,10)&lt;=500000,MROUND(G100,10)&lt;&gt;0),IF(AT100&lt;=12500, AT100,12500),0), IF(OR(AND(B100="2023-2024",'Basic Information'!$AG$31="No")),IF(AND(MROUND(G100,10)&lt;=700000,MROUND(G100,10)&lt;&gt;0),IF(AT100&lt;=25000, AT100,25000),IF(AND(MROUND(G100,10)&lt;&gt;0,(MROUND(G100,10)-700000)&lt;=AT100),AT100-(MROUND(G100,10)-700000),0)),0)))))</f>
        <v>0</v>
      </c>
      <c r="AV100" s="6">
        <f t="shared" si="5"/>
        <v>0</v>
      </c>
      <c r="AW100" s="6">
        <f t="shared" si="6"/>
        <v>0</v>
      </c>
      <c r="AX100" s="6">
        <f>IF( AND(OR(B100="2005-2006",B100="2006-2007"),$U$22&lt;&gt;"Female"),IF( MROUND(S100,10)&lt;= 100000, 0, IF(AND(MROUND(S100,10)&gt; 100000,MROUND(S100,10)&lt;= 150000),  ROUND(ABS(MROUND(S100,10)- 100000)*0.1,0), IF(AND(MROUND(S100,10)&gt; 150000, MROUND(S100,10)&lt;= 250000), ROUND(5000+ ABS(MROUND(S100,10)- 150000)*0.2,0),IF(MROUND(S100,10)&gt; 250000,  ROUND(25000+ABS(MROUND(S100,10)- 250000)*0.3,0),  0)))),IF(AND(OR(B100="2005-2006",B100="2006-2007"),$U$22="Female"),IF(MROUND(S100,10)&lt;= 135000, 0, IF(AND(MROUND(S100,10)&gt; 135000, MROUND(S100,10)&lt;= 150000), ROUND(ABS(MROUND(S100,10)- 135000)*0.1,0), IF(AND(MROUND(S100,10)&gt; 150000, MROUND(S100,10)&lt;= 250000), ROUND(1500+ ABS(MROUND(S100,10)- 150000)*0.2,0),  IF(MROUND(S100,10)&gt; 250000, ROUND(21500+ABS(MROUND(S100,10)- 250000)*0.3,0),0)))),IF(AND(B100="2007-2008",$U$22&lt;&gt;"Female"), IF(MROUND(S100,10)&lt;= 110000,  0,  IF(AND(MROUND(S100,10)&gt; 110000, MROUND(S100,10)&lt;= 150000),     ROUND(ABS(MROUND(S100,10)- 110000)*0.1,0),  IF(AND(MROUND(S100,10)&gt; 150000, MROUND(S100,10)&lt;= 250000),  ROUND(4000+ ABS(MROUND(S100,10)- 150000)*0.2,0),   IF(MROUND(S100,10)&gt; 250000,   ROUND(24000+ABS(MROUND(S100,10)- 250000)*0.3,0),0)))),IF(AND(B100="2007-2008",$U$22="Female"), IF(MROUND(S100,10)&lt;= 145000, 0, IF(AND(MROUND(S100,10)&gt; 145000, MROUND(S100,10)&lt;= 150000),     ROUND(ABS(MROUND(S100,10)- 145000)*0.1,0),  IF(AND(MROUND(S100,10)&gt; 150000, MROUND(S100,10)&lt;= 250000),  ROUND(500+ ABS(MROUND(S100,10)- 150000)*0.2,0),  IF(MROUND(S100,10)&gt; 250000, ROUND(20500+ABS(MROUND(S100,10)- 250000)*0.3,0),0)))), IF(AND(B100="2008-2009",$U$22&lt;&gt;"Female"), IF(MROUND(S100,10)&lt;= 150000, 0, IF(AND(MROUND(S100,10)&gt; 150000, MROUND(S100,10)&lt;= 300000), ROUND(ABS(MROUND(S100,10)- 150000)*0.1,0), IF(AND(MROUND(S100,10)&gt; 300000, MROUND(S100,10)&lt;= 500000),  ROUND(15000+ ABS(MROUND(S100,10)- 300000)*0.2,0),  IF(MROUND(S100,10)&gt; 500000,  ROUND(55000+ABS(MROUND(S100,10)- 500000)*0.3,0),0)))), IF(AND(B100="2008-2009",$U$22="Female"), IF(MROUND(S100,10)&lt;= 180000, 0, IF(AND(MROUND(S100,10)&gt; 180000, MROUND(S100,10)&lt;= 300000), ROUND(ABS(MROUND(S100,10)- 180000)*0.1,0), IF(AND(MROUND(S100,10)&gt; 300000, MROUND(S100,10)&lt;= 500000), ROUND(12000+ ABS(MROUND(S100,10)- 300000)*0.2,0),  IF(MROUND(S100,10)&gt; 500000,  ROUND(52000+ABS(MROUND(S100,10)- 500000)*0.3,0),0)))), IF(AND(B100="2009-2010", $U$22&lt;&gt;"Female"), IF(MROUND(S100,10)&lt;= 160000, 0, IF(AND(MROUND(S100,10)&gt; 160000, MROUND(S100,10)&lt;= 300000),ROUND(ABS(MROUND(S100,10)- 160000)*0.1,0), IF(AND(MROUND(S100,10)&gt; 300000, MROUND(S100,10)&lt;= 500000),ROUND(14000+ ABS(MROUND(S100,10)- 300000)*0.2,0),  IF(MROUND(S100,10)&gt; 500000, ROUND(54000+ABS(MROUND(S100,10)- 500000)*0.3,0),0)))),IF(AND(B100="2009-2010",$U$22="Female"), IF(MROUND(S100,10)&lt;= 190000, 0, IF(AND(MROUND(S100,10)&gt; 190000, MROUND(S100,10)&lt;= 300000),ROUND(ABS(MROUND(S100,10)- 190000)*0.1,0), IF(AND(MROUND(S100,10)&gt; 300000, MROUND(S100,10)&lt;= 500000), ROUND(11000+ ABS(MROUND(S100,10)- 300000)*0.2,0),IF(MROUND(S100,10)&gt; 500000,  ROUND(51000+ABS(MROUND(S100,10)- 500000)*0.3,0),0)))), IF(AND(B100="2010-2011",$U$22&lt;&gt;"Female"), IF(MROUND(S100,10)&lt;= 160000, 0, IF(AND(MROUND(S100,10)&gt; 160000, MROUND(S100,10)&lt;= 500000), ROUND(ABS(MROUND(S100,10)- 160000)*0.1,0), IF(AND(MROUND(S100,10)&gt; 500000, MROUND(S100,10)&lt;= 800000), ROUND(34000+ ABS(MROUND(S100,10)- 500000)*0.2,0),  IF(MROUND(S100,10)&gt; 800000,  ROUND(94000+ABS(MROUND(S100,10)- 800000)*0.3,0),0)))), IF(AND(OR(B100="2010-2011",B100="2011-2012"),$U$22="Female"), IF(MROUND(S100,10)&lt;= 190000, 0, IF(AND(MROUND(S100,10)&gt; 190000, MROUND(S100,10)&lt;= 500000), ROUND(ABS(MROUND(S100,10)- 190000)*0.1,0), IF(AND(MROUND(S100,10)&gt; 500000, MROUND(S100,10)&lt;= 800000),  ROUND(31000+ ABS(MROUND(S100,10)- 500000)*0.2,0),  IF(MROUND(S100,10)&gt; 800000,  ROUND(91000+ABS(MROUND(S100,10)- 800000)*0.3,0),0)))), IF(AND(B100="2011-2012", $U$22&lt;&gt;"Female"), IF(MROUND(S100,10)&lt;= 180000, 0, IF(AND(MROUND(S100,10)&gt; 180000, MROUND(S100,10)&lt;= 500000), ROUND(ABS(MROUND(S100,10)- 180000)*0.1,0), IF(AND(MROUND(S100,10)&gt; 500000, MROUND(S100,10)&lt;= 800000),  ROUND(32000+ ABS(MROUND(S100,10)- 500000)*0.2,0),  IF(MROUND(S100,10)&gt; 800000,  ROUND(92000+ABS(MROUND(S100,10)- 800000)*0.3,0),0)))), IF(OR(B100="2012-2013",B100="2013-2014"), IF(MROUND(S100,10)&lt;= 200000, 0, IF(AND(MROUND(S100,10)&gt; 200000, MROUND(S100,10)&lt;= 500000), ROUND(ABS(MROUND(S100,10)- 200000)*0.1,0), IF(AND(MROUND(S100,10)&gt; 500000, MROUND(S100,10)&lt;= 1000000),  ROUND(30000+ ABS(MROUND(S100,10)- 500000)*0.2,0),  IF(MROUND(S100,10)&gt; 1000000,  ROUND(130000+ABS(MROUND(S100,10)- 1000000)*0.3,0),0)))), IF(OR(B100="2014-2015", B100="2015-2016",B100="2016-2017"), IF(MROUND(S100,10)&lt;= 250000, 0, IF(AND(MROUND(S100,10)&gt; 250000, MROUND(S100,10)&lt;= 500000), ROUND(ABS(MROUND(S100,10)- 250000)*0.1,0), IF(AND(MROUND(S100,10)&gt; 500000, MROUND(S100,10)&lt;= 1000000),  ROUND(25000+ ABS(MROUND(S100,10)- 500000)*0.2,0),  IF(MROUND(S100,10)&gt; 1000000,  ROUND(125000+ABS(MROUND(S100,10)- 1000000)*0.3,0), 0)))),IF(OR(B100="2017-2018",B100="2018-2019",B100="2019-2020",AND(B100="2020-2021",'Basic Information'!$AG$22="No"),AND(B100="2021-2022",'Basic Information'!$AG$25="No"),AND(B100="2022-2023",'Basic Information'!$AG$28="No"),AND(B100="2023-2024",'Basic Information'!$AG$31="Yes")), IF(MROUND(S100,10)&lt;= 250000, 0, IF(AND(MROUND(S100,10)&gt; 250000, MROUND(S100,10)&lt;= 500000), ROUND(ABS(MROUND(S100,10)- 250000)*0.05,0), IF(AND(MROUND(S100,10)&gt; 500000, MROUND(S100,10)&lt;= 1000000),  ROUND(12500+ ABS(MROUND(S100,10)- 500000)*0.2,0),  IF(MROUND(S100,10)&gt; 1000000,  ROUND(112500+ABS(MROUND(S100,10)- 1000000)*0.3,0), 0)))),IF(OR(AND(B100="2020-2021",'Basic Information'!$AG$22="Yes"),AND(B100="2021-2022",'Basic Information'!$AG$25="Yes"),AND(B100="2022-2023",'Basic Information'!$AG$28="Yes")), IF(MROUND(S100,10)&lt;= 250000, 0, IF(AND(MROUND(S100,10)&gt; 250000, MROUND(S100,10)&lt;= 500000), ROUND(ABS(MROUND(S100,10)- 250000)*0.05,0), IF(AND(MROUND(S100,10)&gt; 500000, MROUND(S100,10)&lt;= 750000),  ROUND(12500+ ABS(MROUND(S100,10)- 500000)*0.1,0), IF(AND(MROUND(S100,10)&gt; 750000, MROUND(S100,10)&lt;= 1000000),  ROUND(37500+ ABS(MROUND(S100,10)- 750000)*0.15,0),IF(AND(MROUND(S100,10)&gt; 1000000, MROUND(S100,10)&lt;= 1250000),  ROUND(75000+ ABS(MROUND(S100,10)- 1000000)*0.2,0),IF(AND(MROUND(S100,10)&gt; 1250000, MROUND(S100,10)&lt;= 1500000),  ROUND(125000+ ABS(MROUND(S100,10)- 1250000)*0.25,0), IF(MROUND(S100,10)&gt; 1500000,  ROUND(187500+ABS(MROUND(S100,10)- 1500000)*0.3,0), 0))))))),IF(AND(B100="2023-2024",'Basic Information'!$AG$31="No"), IF(MROUND(S100,10)&lt;= 300000, 0, IF(AND(MROUND(S100,10)&gt; 300000, MROUND(S100,10)&lt;= 600000), ROUND(ABS(MROUND(S100,10)- 300000)*0.05,0), IF(AND(MROUND(S100,10)&gt; 600000, MROUND(S100,10)&lt;= 900000),  ROUND(15000+ ABS(MROUND(S100,10)- 600000)*0.1,0), IF(AND(MROUND(S100,10)&gt; 900000, MROUND(S100,10)&lt;= 1200000),  ROUND(45000+ ABS(MROUND(S100,10)- 900000)*0.15,0),IF(AND(MROUND(S100,10)&gt; 1200000, MROUND(S100,10)&lt;= 1500000),  ROUND(90000+ ABS(MROUND(S100,10)- 1200000)*0.2,0), IF(MROUND(S100,10)&gt; 1500000,  ROUND(150000+ABS(MROUND(S100,10)- 1500000)*0.3,0), 0)))))),0))))))))))))))))</f>
        <v>0</v>
      </c>
      <c r="AY100" s="6">
        <f>IF(OR(B100="2013-2014",B100="2014-2015",B100="2015-2016"),IF(AND(MROUND(S100,10)&lt;=500000,MROUND(S100,10)&lt;&gt;0),IF(AX100&lt;=2000, AX100,2000),0), IF(B100="2016-2017",IF(AND(MROUND(S100,10)&lt;=500000,MROUND(S100,10)&lt;&gt;0),IF(AX100&lt;=5000, AX100,5000),0), IF(OR(B100="2017-2018",B100="2018-2019"),IF(AND(MROUND(S100,10)&lt;=350000,MROUND(S100,10)&lt;&gt;0),IF(AX100&lt;=2500, AX100,2500),0), IF(OR(B100="2019-2020",B100="2020-2021",B100="2021-2022",B100="2022-2023",AND(B100="2023-2024",'Basic Information'!$AG$31="Yes")),IF(AND(MROUND(S100,10)&lt;=500000,MROUND(S100,10)&lt;&gt;0),IF(AX100&lt;=12500, AX100,12500),0), IF(OR(AND(B100="2023-2024",'Basic Information'!$AG$31="No")),IF(AND(MROUND(S100,10)&lt;=700000,MROUND(S100,10)&lt;&gt;0),IF(AX100&lt;=25000, AX100,25000),IF(AND(MROUND(S100,10)&lt;&gt;0,(MROUND(S100,10)-700000)&lt;= AX100), AX100-(MROUND(S100,10)-700000),0)),0)))))</f>
        <v>0</v>
      </c>
      <c r="AZ100" s="6">
        <f t="shared" si="7"/>
        <v>0</v>
      </c>
      <c r="BA100" s="6">
        <f t="shared" si="8"/>
        <v>0</v>
      </c>
    </row>
    <row r="101" spans="2:53" x14ac:dyDescent="0.3">
      <c r="B101" s="536" t="str">
        <f>IF(ISBLANK('Form 10E - Old Scheme'!B101),"",'Form 10E - Old Scheme'!B101)</f>
        <v/>
      </c>
      <c r="C101" s="537"/>
      <c r="D101" s="537"/>
      <c r="E101" s="537"/>
      <c r="F101" s="538"/>
      <c r="G101" s="335">
        <f>IF(ISNUMBER('Form 10E - Old Scheme'!G101),'Form 10E - Old Scheme'!G101,0)</f>
        <v>0</v>
      </c>
      <c r="H101" s="336"/>
      <c r="I101" s="336"/>
      <c r="J101" s="336"/>
      <c r="K101" s="336"/>
      <c r="L101" s="337"/>
      <c r="M101" s="335">
        <f>IF(ISNUMBER('Form 10E - Old Scheme'!M101),'Form 10E - Old Scheme'!M101,0)</f>
        <v>0</v>
      </c>
      <c r="N101" s="336"/>
      <c r="O101" s="336"/>
      <c r="P101" s="336"/>
      <c r="Q101" s="336"/>
      <c r="R101" s="337"/>
      <c r="S101" s="335">
        <f>SUM(G101,M101)</f>
        <v>0</v>
      </c>
      <c r="T101" s="336"/>
      <c r="U101" s="336"/>
      <c r="V101" s="336"/>
      <c r="W101" s="336"/>
      <c r="X101" s="337"/>
      <c r="Y101" s="335">
        <f>MROUND(SUM(AV101,AW101),10)</f>
        <v>0</v>
      </c>
      <c r="Z101" s="336"/>
      <c r="AA101" s="336"/>
      <c r="AB101" s="336"/>
      <c r="AC101" s="336"/>
      <c r="AD101" s="337"/>
      <c r="AE101" s="335">
        <f>SUM(AZ101,BA101)</f>
        <v>0</v>
      </c>
      <c r="AF101" s="336"/>
      <c r="AG101" s="336"/>
      <c r="AH101" s="336"/>
      <c r="AI101" s="336"/>
      <c r="AJ101" s="338"/>
      <c r="AK101" s="339">
        <f t="shared" si="0"/>
        <v>0</v>
      </c>
      <c r="AL101" s="340"/>
      <c r="AM101" s="340"/>
      <c r="AN101" s="340"/>
      <c r="AO101" s="340"/>
      <c r="AP101" s="341"/>
      <c r="AQ101" s="38" t="str">
        <f t="shared" si="9"/>
        <v/>
      </c>
      <c r="AT101" s="6">
        <f>IF( AND(OR(B101="2005-2006",B101="2006-2007"),$U$22&lt;&gt;"Female"),IF( MROUND(G101,10)&lt;= 100000, 0, IF(AND(MROUND(G101,10)&gt; 100000,MROUND(G101,10)&lt;= 150000),  ROUND(ABS(MROUND(G101,10)- 100000)*0.1,0), IF(AND(MROUND(G101,10)&gt; 150000, MROUND(G101,10)&lt;= 250000), ROUND(5000+ ABS(MROUND(G101,10)- 150000)*0.2,0),IF(MROUND(G101,10)&gt; 250000,  ROUND(25000+ABS(MROUND(G101,10)- 250000)*0.3,0),  0)))),IF(AND(OR(B101="2005-2006",B101="2006-2007"),$U$22="Female"),IF(MROUND(G101,10)&lt;= 135000, 0, IF(AND(MROUND(G101,10)&gt; 135000, MROUND(G101,10)&lt;= 150000), ROUND(ABS(MROUND(G101,10)- 135000)*0.1,0), IF(AND(MROUND(G101,10)&gt; 150000, MROUND(G101,10)&lt;= 250000), ROUND(1500+ ABS(MROUND(G101,10)- 150000)*0.2,0),  IF(MROUND(G101,10)&gt; 250000, ROUND(21500+ABS(MROUND(G101,10)- 250000)*0.3,0),0)))),IF(AND(B101="2007-2008",$U$22&lt;&gt;"Female"), IF(MROUND(G101,10)&lt;= 110000,  0,  IF(AND(MROUND(G101,10)&gt; 110000, MROUND(G101,10)&lt;= 150000), ROUND(ABS(MROUND(G101,10)- 110000)*0.1,0),  IF(AND(MROUND(G101,10)&gt; 150000, MROUND(G101,10)&lt;= 250000),  ROUND(4000+ ABS(MROUND(G101,10)- 150000)*0.2,0),   IF(MROUND(G101,10)&gt; 250000,   ROUND(24000+ABS(MROUND(G101,10)- 250000)*0.3,0),0)))),IF(AND(B101="2007-2008",$U$22="Female"), IF(MROUND(G101,10)&lt;= 145000, 0, IF(AND(MROUND(G101,10)&gt; 145000, MROUND(G101,10)&lt;= 150000),     ROUND(ABS(MROUND(G101,10)- 145000)*0.1,0),  IF(AND(MROUND(G101,10)&gt; 150000, MROUND(G101,10)&lt;= 250000),  ROUND(500+ ABS(MROUND(G101,10)- 150000)*0.2,0),  IF(MROUND(G101,10)&gt; 250000, ROUND(20500+ABS(MROUND(G101,10)- 250000)*0.3,0),0)))), IF(AND(B101="2008-2009",$U$22&lt;&gt;"Female"), IF(MROUND(G101,10)&lt;= 150000, 0, IF(AND(MROUND(G101,10)&gt; 150000, MROUND(G101,10)&lt;= 300000), ROUND(ABS(MROUND(G101,10)- 150000)*0.1,0), IF(AND(MROUND(G101,10)&gt; 300000, MROUND(G101,10)&lt;= 500000),  ROUND(15000+ ABS(MROUND(G101,10)- 300000)*0.2,0),  IF(MROUND(G101,10)&gt; 500000,  ROUND(55000+ABS(MROUND(G101,10)- 500000)*0.3,0),0)))), IF(AND(B101="2008-2009",$U$22="Female"), IF(MROUND(G101,10)&lt;= 180000, 0, IF(AND(MROUND(G101,10)&gt; 180000, MROUND(G101,10)&lt;= 300000), ROUND(ABS(MROUND(G101,10)- 180000)*0.1,0), IF(AND(MROUND(G101,10)&gt; 300000, MROUND(G101,10)&lt;= 500000), ROUND(12000+ ABS(MROUND(G101,10)- 300000)*0.2,0),  IF(MROUND(G101,10)&gt; 500000,  ROUND(52000+ABS(MROUND(G101,10)- 500000)*0.3,0),0)))), IF(AND(B101="2009-2010", $U$22&lt;&gt;"Female"), IF(MROUND(G101,10)&lt;= 160000, 0, IF(AND(MROUND(G101,10)&gt; 160000, MROUND(G101,10)&lt;= 300000),ROUND(ABS(MROUND(G101,10)- 160000)*0.1,0), IF(AND(MROUND(G101,10)&gt; 300000, MROUND(G101,10)&lt;= 500000),ROUND(14000+ ABS(MROUND(G101,10)- 300000)*0.2,0),  IF(MROUND(G101,10)&gt; 500000, ROUND(54000+ABS(MROUND(G101,10)- 500000)*0.3,0),0)))),IF(AND(B101="2009-2010",$U$22="Female"), IF(MROUND(G101,10)&lt;= 190000, 0, IF(AND(MROUND(G101,10)&gt; 190000, MROUND(G101,10)&lt;= 300000),ROUND(ABS(MROUND(G101,10)- 190000)*0.1,0), IF(AND(MROUND(G101,10)&gt; 300000, MROUND(G101,10)&lt;= 500000), ROUND(11000+ ABS(MROUND(G101,10)- 300000)*0.2,0),IF(MROUND(G101,10)&gt; 500000,  ROUND(51000+ABS(MROUND(G101,10)- 500000)*0.3,0),0)))), IF(AND(B101="2010-2011",$U$22&lt;&gt;"Female"), IF(MROUND(G101,10)&lt;= 160000, 0, IF(AND(MROUND(G101,10)&gt; 160000, MROUND(G101,10)&lt;= 500000), ROUND(ABS(MROUND(G101,10)- 160000)*0.1,0), IF(AND(MROUND(G101,10)&gt; 500000, MROUND(G101,10)&lt;= 800000), ROUND(34000+ ABS(MROUND(G101,10)- 500000)*0.2,0),  IF(MROUND(G101,10)&gt; 800000,  ROUND(94000+ABS(MROUND(G101,10)- 800000)*0.3,0),0)))), IF(AND(OR(B101="2010-2011",B101="2011-2012"),$U$22="Female"), IF(MROUND(G101,10)&lt;= 190000, 0, IF(AND(MROUND(G101,10)&gt; 190000, MROUND(G101,10)&lt;= 500000), ROUND(ABS(MROUND(G101,10)- 190000)*0.1,0), IF(AND(MROUND(G101,10)&gt; 500000, MROUND(G101,10)&lt;= 800000),  ROUND(31000+ ABS(MROUND(G101,10)- 500000)*0.2,0),  IF(MROUND(G101,10)&gt; 800000,  ROUND(91000+ABS(MROUND(G101,10)- 800000)*0.3,0),0)))), IF(AND(B101="2011-2012", $U$22&lt;&gt;"Female"), IF(MROUND(G101,10)&lt;= 180000, 0, IF(AND(MROUND(G101,10)&gt; 180000, MROUND(G101,10)&lt;= 500000), ROUND(ABS(MROUND(G101,10)- 180000)*0.1,0), IF(AND(MROUND(G101,10)&gt; 500000, MROUND(G101,10)&lt;= 800000),  ROUND(32000+ ABS(MROUND(G101,10)- 500000)*0.2,0),  IF(MROUND(G101,10)&gt; 800000,  ROUND(92000+ABS(MROUND(G101,10)- 800000)*0.3,0),0)))), IF(OR(B101="2012-2013",B101="2013-2014"), IF(MROUND(G101,10)&lt;= 200000, 0, IF(AND(MROUND(G101,10)&gt; 200000, MROUND(G101,10)&lt;= 500000), ROUND(ABS(MROUND(G101,10)- 200000)*0.1,0), IF(AND(MROUND(G101,10)&gt; 500000, MROUND(G101,10)&lt;= 1000000),  ROUND(30000+ ABS(MROUND(G101,10)- 500000)*0.2,0),  IF(MROUND(G101,10)&gt; 1000000,  ROUND(130000+ABS(MROUND(G101,10)- 1000000)*0.3,0),0)))), IF(OR(B101="2014-2015", B101="2015-2016",B101="2016-2017"), IF(MROUND(G101,10)&lt;= 250000, 0, IF(AND(MROUND(G101,10)&gt; 250000, MROUND(G101,10)&lt;= 500000), ROUND(ABS(MROUND(G101,10)- 250000)*0.1,0), IF(AND(MROUND(G101,10)&gt; 500000, MROUND(G101,10)&lt;= 1000000),  ROUND(25000+ ABS(MROUND(G101,10)- 500000)*0.2,0),  IF(MROUND(G101,10)&gt; 1000000,  ROUND(125000+ABS(MROUND(G101,10)- 1000000)*0.3,0), 0)))), IF(OR(B101="2017-2018",B101="2018-2019",B101="2019-2020",AND(B101="2020-2021",'Basic Information'!$AG$22="No"),AND(B101="2021-2022",'Basic Information'!$AG$25="No"),AND(B101="2022-2023",'Basic Information'!$AG$28="No"),AND(B101="2023-2024",'Basic Information'!$AG$31="Yes")), IF(MROUND(G101,10)&lt;= 250000, 0, IF(AND(MROUND(G101,10)&gt; 250000, MROUND(G101,10)&lt;= 500000), ROUND(ABS(MROUND(G101,10)- 250000)*0.05,0), IF(AND(MROUND(G101,10)&gt; 500000, MROUND(G101,10)&lt;= 1000000),  ROUND(12500+ ABS(MROUND(G101,10)- 500000)*0.2,0),  IF(MROUND(G101,10)&gt; 1000000,  ROUND(112500+ABS(MROUND(G101,10)- 1000000)*0.3,0), 0)))),IF(OR(AND(B101="2020-2021",'Basic Information'!$AG$22="Yes"),AND(B101="2021-2022",'Basic Information'!$AG$25="Yes"),AND(B101="2022-2023",'Basic Information'!$AG$28="Yes")), IF(MROUND(G101,10)&lt;= 250000, 0, IF(AND(MROUND(G101,10)&gt; 250000, MROUND(G101,10)&lt;= 500000), ROUND(ABS(MROUND(G101,10)- 250000)*0.05,0), IF(AND(MROUND(G101,10)&gt; 500000, MROUND(G101,10)&lt;= 750000),  ROUND(12500+ ABS(MROUND(G101,10)- 500000)*0.1,0), IF(AND(MROUND(G101,10)&gt; 750000, MROUND(G101,10)&lt;= 1000000),  ROUND(37500+ ABS(MROUND(G101,10)- 750000)*0.15,0),IF(AND(MROUND(G101,10)&gt; 1000000, MROUND(G101,10)&lt;= 1250000),  ROUND(75000+ ABS(MROUND(G101,10)- 1000000)*0.2,0),IF(AND(MROUND(G101,10)&gt; 1250000, MROUND(G101,10)&lt;= 1500000),  ROUND(125000+ ABS(MROUND(G101,10)- 1250000)*0.25,0), IF(MROUND(G101,10)&gt; 1500000,  ROUND(187500+ABS(MROUND(G101,10)- 1500000)*0.3,0), 0))))))),IF(AND(B101="2023-2024",'Basic Information'!$AG$31="No"), IF(MROUND(G101,10)&lt;= 300000, 0, IF(AND(MROUND(G101,10)&gt; 300000, MROUND(G101,10)&lt;= 600000), ROUND(ABS(MROUND(G101,10)- 300000)*0.05,0), IF(AND(MROUND(G101,10)&gt; 600000, MROUND(G101,10)&lt;= 900000),  ROUND(15000+ ABS(MROUND(G101,10)- 600000)*0.1,0), IF(AND(MROUND(G101,10)&gt; 900000, MROUND(G101,10)&lt;= 1200000),  ROUND(45000+ ABS(MROUND(G101,10)- 900000)*0.15,0),IF(AND(MROUND(G101,10)&gt; 1200000, MROUND(G101,10)&lt;= 1500000),  ROUND(90000+ ABS(MROUND(G101,10)- 1200000)*0.2,0), IF(MROUND(G101,10)&gt; 1500000,  ROUND(150000+ABS(MROUND(G101,10)- 1500000)*0.3,0), 0)))))),0))))))))))))))))</f>
        <v>0</v>
      </c>
      <c r="AU101" s="6">
        <f>IF(OR(B101="2013-2014",B101="2014-2015",B101="2015-2016"),IF(AND(MROUND(G101,10)&lt;=500000,MROUND(G101,10)&lt;&gt;0),IF(AT101&lt;=2000, AT101,2000),0), IF(B101="2016-2017",IF(AND(MROUND(G101,10)&lt;=500000,MROUND(G101,10)&lt;&gt;0),IF(AT101&lt;=5000, AT101,5000),0), IF(OR(B101="2017-2018",B101="2018-2019"),IF(AND(MROUND(G101,10)&lt;=350000,MROUND(G101,10)&lt;&gt;0),IF(AT101&lt;=2500, AT101,2500),0), IF(OR(B101="2019-2020",B101="2020-2021",B101="2021-2022",B101="2022-2023",AND(B101="2023-2024",'Basic Information'!$AG$31="Yes")),IF(AND(MROUND(G101,10)&lt;=500000,MROUND(G101,10)&lt;&gt;0),IF(AT101&lt;=12500, AT101,12500),0), IF(OR(AND(B101="2023-2024",'Basic Information'!$AG$31="No")),IF(AND(MROUND(G101,10)&lt;=700000,MROUND(G101,10)&lt;&gt;0),IF(AT101&lt;=25000, AT101,25000),IF(AND(MROUND(G101,10)&lt;&gt;0,(MROUND(G101,10)-700000)&lt;=AT101),AT101-(MROUND(G101,10)-700000),0)),0)))))</f>
        <v>0</v>
      </c>
      <c r="AV101" s="6">
        <f t="shared" si="5"/>
        <v>0</v>
      </c>
      <c r="AW101" s="6">
        <f t="shared" si="6"/>
        <v>0</v>
      </c>
      <c r="AX101" s="6">
        <f>IF( AND(OR(B101="2005-2006",B101="2006-2007"),$U$22&lt;&gt;"Female"),IF( MROUND(S101,10)&lt;= 100000, 0, IF(AND(MROUND(S101,10)&gt; 100000,MROUND(S101,10)&lt;= 150000),  ROUND(ABS(MROUND(S101,10)- 100000)*0.1,0), IF(AND(MROUND(S101,10)&gt; 150000, MROUND(S101,10)&lt;= 250000), ROUND(5000+ ABS(MROUND(S101,10)- 150000)*0.2,0),IF(MROUND(S101,10)&gt; 250000,  ROUND(25000+ABS(MROUND(S101,10)- 250000)*0.3,0),  0)))),IF(AND(OR(B101="2005-2006",B101="2006-2007"),$U$22="Female"),IF(MROUND(S101,10)&lt;= 135000, 0, IF(AND(MROUND(S101,10)&gt; 135000, MROUND(S101,10)&lt;= 150000), ROUND(ABS(MROUND(S101,10)- 135000)*0.1,0), IF(AND(MROUND(S101,10)&gt; 150000, MROUND(S101,10)&lt;= 250000), ROUND(1500+ ABS(MROUND(S101,10)- 150000)*0.2,0),  IF(MROUND(S101,10)&gt; 250000, ROUND(21500+ABS(MROUND(S101,10)- 250000)*0.3,0),0)))),IF(AND(B101="2007-2008",$U$22&lt;&gt;"Female"), IF(MROUND(S101,10)&lt;= 110000,  0,  IF(AND(MROUND(S101,10)&gt; 110000, MROUND(S101,10)&lt;= 150000),     ROUND(ABS(MROUND(S101,10)- 110000)*0.1,0),  IF(AND(MROUND(S101,10)&gt; 150000, MROUND(S101,10)&lt;= 250000),  ROUND(4000+ ABS(MROUND(S101,10)- 150000)*0.2,0),   IF(MROUND(S101,10)&gt; 250000,   ROUND(24000+ABS(MROUND(S101,10)- 250000)*0.3,0),0)))),IF(AND(B101="2007-2008",$U$22="Female"), IF(MROUND(S101,10)&lt;= 145000, 0, IF(AND(MROUND(S101,10)&gt; 145000, MROUND(S101,10)&lt;= 150000),     ROUND(ABS(MROUND(S101,10)- 145000)*0.1,0),  IF(AND(MROUND(S101,10)&gt; 150000, MROUND(S101,10)&lt;= 250000),  ROUND(500+ ABS(MROUND(S101,10)- 150000)*0.2,0),  IF(MROUND(S101,10)&gt; 250000, ROUND(20500+ABS(MROUND(S101,10)- 250000)*0.3,0),0)))), IF(AND(B101="2008-2009",$U$22&lt;&gt;"Female"), IF(MROUND(S101,10)&lt;= 150000, 0, IF(AND(MROUND(S101,10)&gt; 150000, MROUND(S101,10)&lt;= 300000), ROUND(ABS(MROUND(S101,10)- 150000)*0.1,0), IF(AND(MROUND(S101,10)&gt; 300000, MROUND(S101,10)&lt;= 500000),  ROUND(15000+ ABS(MROUND(S101,10)- 300000)*0.2,0),  IF(MROUND(S101,10)&gt; 500000,  ROUND(55000+ABS(MROUND(S101,10)- 500000)*0.3,0),0)))), IF(AND(B101="2008-2009",$U$22="Female"), IF(MROUND(S101,10)&lt;= 180000, 0, IF(AND(MROUND(S101,10)&gt; 180000, MROUND(S101,10)&lt;= 300000), ROUND(ABS(MROUND(S101,10)- 180000)*0.1,0), IF(AND(MROUND(S101,10)&gt; 300000, MROUND(S101,10)&lt;= 500000), ROUND(12000+ ABS(MROUND(S101,10)- 300000)*0.2,0),  IF(MROUND(S101,10)&gt; 500000,  ROUND(52000+ABS(MROUND(S101,10)- 500000)*0.3,0),0)))), IF(AND(B101="2009-2010", $U$22&lt;&gt;"Female"), IF(MROUND(S101,10)&lt;= 160000, 0, IF(AND(MROUND(S101,10)&gt; 160000, MROUND(S101,10)&lt;= 300000),ROUND(ABS(MROUND(S101,10)- 160000)*0.1,0), IF(AND(MROUND(S101,10)&gt; 300000, MROUND(S101,10)&lt;= 500000),ROUND(14000+ ABS(MROUND(S101,10)- 300000)*0.2,0),  IF(MROUND(S101,10)&gt; 500000, ROUND(54000+ABS(MROUND(S101,10)- 500000)*0.3,0),0)))),IF(AND(B101="2009-2010",$U$22="Female"), IF(MROUND(S101,10)&lt;= 190000, 0, IF(AND(MROUND(S101,10)&gt; 190000, MROUND(S101,10)&lt;= 300000),ROUND(ABS(MROUND(S101,10)- 190000)*0.1,0), IF(AND(MROUND(S101,10)&gt; 300000, MROUND(S101,10)&lt;= 500000), ROUND(11000+ ABS(MROUND(S101,10)- 300000)*0.2,0),IF(MROUND(S101,10)&gt; 500000,  ROUND(51000+ABS(MROUND(S101,10)- 500000)*0.3,0),0)))), IF(AND(B101="2010-2011",$U$22&lt;&gt;"Female"), IF(MROUND(S101,10)&lt;= 160000, 0, IF(AND(MROUND(S101,10)&gt; 160000, MROUND(S101,10)&lt;= 500000), ROUND(ABS(MROUND(S101,10)- 160000)*0.1,0), IF(AND(MROUND(S101,10)&gt; 500000, MROUND(S101,10)&lt;= 800000), ROUND(34000+ ABS(MROUND(S101,10)- 500000)*0.2,0),  IF(MROUND(S101,10)&gt; 800000,  ROUND(94000+ABS(MROUND(S101,10)- 800000)*0.3,0),0)))), IF(AND(OR(B101="2010-2011",B101="2011-2012"),$U$22="Female"), IF(MROUND(S101,10)&lt;= 190000, 0, IF(AND(MROUND(S101,10)&gt; 190000, MROUND(S101,10)&lt;= 500000), ROUND(ABS(MROUND(S101,10)- 190000)*0.1,0), IF(AND(MROUND(S101,10)&gt; 500000, MROUND(S101,10)&lt;= 800000),  ROUND(31000+ ABS(MROUND(S101,10)- 500000)*0.2,0),  IF(MROUND(S101,10)&gt; 800000,  ROUND(91000+ABS(MROUND(S101,10)- 800000)*0.3,0),0)))), IF(AND(B101="2011-2012", $U$22&lt;&gt;"Female"), IF(MROUND(S101,10)&lt;= 180000, 0, IF(AND(MROUND(S101,10)&gt; 180000, MROUND(S101,10)&lt;= 500000), ROUND(ABS(MROUND(S101,10)- 180000)*0.1,0), IF(AND(MROUND(S101,10)&gt; 500000, MROUND(S101,10)&lt;= 800000),  ROUND(32000+ ABS(MROUND(S101,10)- 500000)*0.2,0),  IF(MROUND(S101,10)&gt; 800000,  ROUND(92000+ABS(MROUND(S101,10)- 800000)*0.3,0),0)))), IF(OR(B101="2012-2013",B101="2013-2014"), IF(MROUND(S101,10)&lt;= 200000, 0, IF(AND(MROUND(S101,10)&gt; 200000, MROUND(S101,10)&lt;= 500000), ROUND(ABS(MROUND(S101,10)- 200000)*0.1,0), IF(AND(MROUND(S101,10)&gt; 500000, MROUND(S101,10)&lt;= 1000000),  ROUND(30000+ ABS(MROUND(S101,10)- 500000)*0.2,0),  IF(MROUND(S101,10)&gt; 1000000,  ROUND(130000+ABS(MROUND(S101,10)- 1000000)*0.3,0),0)))), IF(OR(B101="2014-2015", B101="2015-2016",B101="2016-2017"), IF(MROUND(S101,10)&lt;= 250000, 0, IF(AND(MROUND(S101,10)&gt; 250000, MROUND(S101,10)&lt;= 500000), ROUND(ABS(MROUND(S101,10)- 250000)*0.1,0), IF(AND(MROUND(S101,10)&gt; 500000, MROUND(S101,10)&lt;= 1000000),  ROUND(25000+ ABS(MROUND(S101,10)- 500000)*0.2,0),  IF(MROUND(S101,10)&gt; 1000000,  ROUND(125000+ABS(MROUND(S101,10)- 1000000)*0.3,0), 0)))),IF(OR(B101="2017-2018",B101="2018-2019",B101="2019-2020",AND(B101="2020-2021",'Basic Information'!$AG$22="No"),AND(B101="2021-2022",'Basic Information'!$AG$25="No"),AND(B101="2022-2023",'Basic Information'!$AG$28="No"),AND(B101="2023-2024",'Basic Information'!$AG$31="Yes")), IF(MROUND(S101,10)&lt;= 250000, 0, IF(AND(MROUND(S101,10)&gt; 250000, MROUND(S101,10)&lt;= 500000), ROUND(ABS(MROUND(S101,10)- 250000)*0.05,0), IF(AND(MROUND(S101,10)&gt; 500000, MROUND(S101,10)&lt;= 1000000),  ROUND(12500+ ABS(MROUND(S101,10)- 500000)*0.2,0),  IF(MROUND(S101,10)&gt; 1000000,  ROUND(112500+ABS(MROUND(S101,10)- 1000000)*0.3,0), 0)))),IF(OR(AND(B101="2020-2021",'Basic Information'!$AG$22="Yes"),AND(B101="2021-2022",'Basic Information'!$AG$25="Yes"),AND(B101="2022-2023",'Basic Information'!$AG$28="Yes")), IF(MROUND(S101,10)&lt;= 250000, 0, IF(AND(MROUND(S101,10)&gt; 250000, MROUND(S101,10)&lt;= 500000), ROUND(ABS(MROUND(S101,10)- 250000)*0.05,0), IF(AND(MROUND(S101,10)&gt; 500000, MROUND(S101,10)&lt;= 750000),  ROUND(12500+ ABS(MROUND(S101,10)- 500000)*0.1,0), IF(AND(MROUND(S101,10)&gt; 750000, MROUND(S101,10)&lt;= 1000000),  ROUND(37500+ ABS(MROUND(S101,10)- 750000)*0.15,0),IF(AND(MROUND(S101,10)&gt; 1000000, MROUND(S101,10)&lt;= 1250000),  ROUND(75000+ ABS(MROUND(S101,10)- 1000000)*0.2,0),IF(AND(MROUND(S101,10)&gt; 1250000, MROUND(S101,10)&lt;= 1500000),  ROUND(125000+ ABS(MROUND(S101,10)- 1250000)*0.25,0), IF(MROUND(S101,10)&gt; 1500000,  ROUND(187500+ABS(MROUND(S101,10)- 1500000)*0.3,0), 0))))))),IF(AND(B101="2023-2024",'Basic Information'!$AG$31="No"), IF(MROUND(S101,10)&lt;= 300000, 0, IF(AND(MROUND(S101,10)&gt; 300000, MROUND(S101,10)&lt;= 600000), ROUND(ABS(MROUND(S101,10)- 300000)*0.05,0), IF(AND(MROUND(S101,10)&gt; 600000, MROUND(S101,10)&lt;= 900000),  ROUND(15000+ ABS(MROUND(S101,10)- 600000)*0.1,0), IF(AND(MROUND(S101,10)&gt; 900000, MROUND(S101,10)&lt;= 1200000),  ROUND(45000+ ABS(MROUND(S101,10)- 900000)*0.15,0),IF(AND(MROUND(S101,10)&gt; 1200000, MROUND(S101,10)&lt;= 1500000),  ROUND(90000+ ABS(MROUND(S101,10)- 1200000)*0.2,0), IF(MROUND(S101,10)&gt; 1500000,  ROUND(150000+ABS(MROUND(S101,10)- 1500000)*0.3,0), 0)))))),0))))))))))))))))</f>
        <v>0</v>
      </c>
      <c r="AY101" s="6">
        <f>IF(OR(B101="2013-2014",B101="2014-2015",B101="2015-2016"),IF(AND(MROUND(S101,10)&lt;=500000,MROUND(S101,10)&lt;&gt;0),IF(AX101&lt;=2000, AX101,2000),0), IF(B101="2016-2017",IF(AND(MROUND(S101,10)&lt;=500000,MROUND(S101,10)&lt;&gt;0),IF(AX101&lt;=5000, AX101,5000),0), IF(OR(B101="2017-2018",B101="2018-2019"),IF(AND(MROUND(S101,10)&lt;=350000,MROUND(S101,10)&lt;&gt;0),IF(AX101&lt;=2500, AX101,2500),0), IF(OR(B101="2019-2020",B101="2020-2021",B101="2021-2022",B101="2022-2023",AND(B101="2023-2024",'Basic Information'!$AG$31="Yes")),IF(AND(MROUND(S101,10)&lt;=500000,MROUND(S101,10)&lt;&gt;0),IF(AX101&lt;=12500, AX101,12500),0), IF(OR(AND(B101="2023-2024",'Basic Information'!$AG$31="No")),IF(AND(MROUND(S101,10)&lt;=700000,MROUND(S101,10)&lt;&gt;0),IF(AX101&lt;=25000, AX101,25000),IF(AND(MROUND(S101,10)&lt;&gt;0,(MROUND(S101,10)-700000)&lt;= AX101), AX101-(MROUND(S101,10)-700000),0)),0)))))</f>
        <v>0</v>
      </c>
      <c r="AZ101" s="6">
        <f t="shared" si="7"/>
        <v>0</v>
      </c>
      <c r="BA101" s="6">
        <f t="shared" si="8"/>
        <v>0</v>
      </c>
    </row>
    <row r="102" spans="2:53" x14ac:dyDescent="0.3">
      <c r="B102" s="332" t="s">
        <v>75</v>
      </c>
      <c r="C102" s="333"/>
      <c r="D102" s="333"/>
      <c r="E102" s="333"/>
      <c r="F102" s="334"/>
      <c r="G102" s="335">
        <f>SUM(G92:G101)</f>
        <v>0</v>
      </c>
      <c r="H102" s="336"/>
      <c r="I102" s="336"/>
      <c r="J102" s="336"/>
      <c r="K102" s="336"/>
      <c r="L102" s="337"/>
      <c r="M102" s="335">
        <f>SUM(M92:M101)</f>
        <v>0</v>
      </c>
      <c r="N102" s="336"/>
      <c r="O102" s="336"/>
      <c r="P102" s="336"/>
      <c r="Q102" s="336"/>
      <c r="R102" s="337"/>
      <c r="S102" s="335">
        <f>SUM(S92:S101)</f>
        <v>0</v>
      </c>
      <c r="T102" s="336"/>
      <c r="U102" s="336"/>
      <c r="V102" s="336"/>
      <c r="W102" s="336"/>
      <c r="X102" s="337"/>
      <c r="Y102" s="335">
        <f>SUM(Y92:Y101)</f>
        <v>0</v>
      </c>
      <c r="Z102" s="336"/>
      <c r="AA102" s="336"/>
      <c r="AB102" s="336"/>
      <c r="AC102" s="336"/>
      <c r="AD102" s="337"/>
      <c r="AE102" s="335">
        <f>SUM(AE92:AE101)</f>
        <v>0</v>
      </c>
      <c r="AF102" s="336"/>
      <c r="AG102" s="336"/>
      <c r="AH102" s="336"/>
      <c r="AI102" s="336"/>
      <c r="AJ102" s="338"/>
      <c r="AK102" s="339">
        <f>SUM(AK92:AK101)</f>
        <v>0</v>
      </c>
      <c r="AL102" s="340"/>
      <c r="AM102" s="340"/>
      <c r="AN102" s="340"/>
      <c r="AO102" s="340"/>
      <c r="AP102" s="341"/>
      <c r="AQ102" s="478" t="str">
        <f>IF(AND(M102=0,AF27=0),"",IF(AND(ISNUMBER(M102),OR(ISBLANK(AF27),AF27=0)),"Please enter the amount of Salary received as arrears in the cell 1(a) at the begining of the sheet. ",IF(AF27&lt;&gt;M102,"The sum of the amounts of salary arrears distributed over different years in Table A does not match the amount entered as salary received in arrears in cell 1(a) at the beginning of the sheet.","")))</f>
        <v/>
      </c>
      <c r="AR102" s="327"/>
      <c r="AS102" s="327"/>
      <c r="AT102" s="327"/>
      <c r="AU102" s="327"/>
      <c r="AV102" s="327"/>
      <c r="AW102" s="327"/>
    </row>
    <row r="103" spans="2:53" ht="30.75" customHeight="1" x14ac:dyDescent="0.3">
      <c r="B103" s="8"/>
      <c r="AQ103" s="327"/>
      <c r="AR103" s="327"/>
      <c r="AS103" s="327"/>
      <c r="AT103" s="327"/>
      <c r="AU103" s="327"/>
      <c r="AV103" s="327"/>
      <c r="AW103" s="327"/>
    </row>
    <row r="104" spans="2:53" x14ac:dyDescent="0.3">
      <c r="B104" s="475" t="s">
        <v>76</v>
      </c>
      <c r="C104" s="475"/>
      <c r="D104" s="475"/>
      <c r="E104" s="475"/>
      <c r="F104" s="475"/>
      <c r="G104" s="475"/>
      <c r="H104" s="475"/>
      <c r="I104" s="475"/>
      <c r="J104" s="475"/>
      <c r="K104" s="475"/>
      <c r="L104" s="8" t="s">
        <v>5</v>
      </c>
      <c r="M104" s="429" t="str">
        <f>PROPER(D45)</f>
        <v xml:space="preserve"> </v>
      </c>
      <c r="N104" s="429"/>
      <c r="O104" s="429"/>
      <c r="P104" s="429"/>
      <c r="Q104" s="429"/>
      <c r="R104" s="429"/>
      <c r="S104" s="429"/>
      <c r="T104" s="429"/>
      <c r="U104" s="429"/>
      <c r="V104" s="429"/>
      <c r="W104" s="429"/>
      <c r="X104" s="429"/>
      <c r="Y104" s="429"/>
      <c r="Z104" s="429"/>
      <c r="AB104" s="414" t="s">
        <v>53</v>
      </c>
      <c r="AC104" s="414"/>
      <c r="AD104" s="414"/>
      <c r="AE104" s="414"/>
      <c r="AF104" s="414"/>
      <c r="AG104" s="414"/>
      <c r="AH104" s="414"/>
      <c r="AI104" s="414"/>
      <c r="AJ104" s="414"/>
      <c r="AK104" s="414"/>
      <c r="AL104" s="414"/>
      <c r="AM104" s="414"/>
    </row>
  </sheetData>
  <sheetProtection algorithmName="SHA-512" hashValue="8oGHszOYOus6DrjsYdxB3oppltK3n9uesUNUqWcV/Fi2ALg4AQDtJ25y8tiqzvc7ztJwOCr/A5rNePI83lCfJQ==" saltValue="uEVCGYmknfz4yoJILiC7XA==" spinCount="100000" sheet="1" objects="1" scenarios="1" selectLockedCells="1"/>
  <mergeCells count="198">
    <mergeCell ref="AQ79:AW81"/>
    <mergeCell ref="AQ102:AW103"/>
    <mergeCell ref="AR11:AW12"/>
    <mergeCell ref="AR13:AW14"/>
    <mergeCell ref="AS15:AU15"/>
    <mergeCell ref="AV15:AW15"/>
    <mergeCell ref="D12:AN12"/>
    <mergeCell ref="B100:F100"/>
    <mergeCell ref="G100:L100"/>
    <mergeCell ref="M100:R100"/>
    <mergeCell ref="S100:X100"/>
    <mergeCell ref="Y100:AD100"/>
    <mergeCell ref="AE100:AJ100"/>
    <mergeCell ref="AK100:AP100"/>
    <mergeCell ref="C11:C19"/>
    <mergeCell ref="D11:S11"/>
    <mergeCell ref="U11:AN11"/>
    <mergeCell ref="D22:S22"/>
    <mergeCell ref="U22:AN22"/>
    <mergeCell ref="C32:C37"/>
    <mergeCell ref="D32:E37"/>
    <mergeCell ref="F32:AE37"/>
    <mergeCell ref="AF32:AN37"/>
    <mergeCell ref="C38:C39"/>
    <mergeCell ref="AR18:AX21"/>
    <mergeCell ref="C24:AN24"/>
    <mergeCell ref="G25:AD25"/>
    <mergeCell ref="AE25:AL25"/>
    <mergeCell ref="D19:S19"/>
    <mergeCell ref="U19:AN19"/>
    <mergeCell ref="D20:S20"/>
    <mergeCell ref="U20:AN20"/>
    <mergeCell ref="D21:S21"/>
    <mergeCell ref="U21:AN21"/>
    <mergeCell ref="B5:AN5"/>
    <mergeCell ref="D6:AN6"/>
    <mergeCell ref="B7:AN7"/>
    <mergeCell ref="B8:AN8"/>
    <mergeCell ref="C10:AN10"/>
    <mergeCell ref="AR2:AW4"/>
    <mergeCell ref="AR5:AT6"/>
    <mergeCell ref="AS7:AV8"/>
    <mergeCell ref="AR9:AV10"/>
    <mergeCell ref="B2:AN2"/>
    <mergeCell ref="B3:AN3"/>
    <mergeCell ref="U16:AN16"/>
    <mergeCell ref="D17:S17"/>
    <mergeCell ref="U17:AN17"/>
    <mergeCell ref="D18:S18"/>
    <mergeCell ref="U18:AN18"/>
    <mergeCell ref="D13:S13"/>
    <mergeCell ref="U13:AN13"/>
    <mergeCell ref="D14:S14"/>
    <mergeCell ref="U14:AN14"/>
    <mergeCell ref="D15:S15"/>
    <mergeCell ref="U15:AN15"/>
    <mergeCell ref="D16:S16"/>
    <mergeCell ref="F27:AE28"/>
    <mergeCell ref="AF27:AN28"/>
    <mergeCell ref="C29:C31"/>
    <mergeCell ref="D29:E31"/>
    <mergeCell ref="F29:AE31"/>
    <mergeCell ref="AF29:AN31"/>
    <mergeCell ref="C46:AD46"/>
    <mergeCell ref="C49:F49"/>
    <mergeCell ref="AC49:AN50"/>
    <mergeCell ref="AF38:AN39"/>
    <mergeCell ref="C27:C28"/>
    <mergeCell ref="D27:E28"/>
    <mergeCell ref="D38:E39"/>
    <mergeCell ref="F38:AE39"/>
    <mergeCell ref="C51:F51"/>
    <mergeCell ref="H51:P51"/>
    <mergeCell ref="AC51:AN51"/>
    <mergeCell ref="C40:C41"/>
    <mergeCell ref="D40:E41"/>
    <mergeCell ref="F40:AE41"/>
    <mergeCell ref="AF40:AN41"/>
    <mergeCell ref="P43:Z43"/>
    <mergeCell ref="D45:U45"/>
    <mergeCell ref="V45:AN45"/>
    <mergeCell ref="H49:U49"/>
    <mergeCell ref="C64:C65"/>
    <mergeCell ref="D64:AE65"/>
    <mergeCell ref="AF64:AN65"/>
    <mergeCell ref="C66:C68"/>
    <mergeCell ref="D66:AE68"/>
    <mergeCell ref="AF66:AN68"/>
    <mergeCell ref="R57:X57"/>
    <mergeCell ref="O58:AA58"/>
    <mergeCell ref="M60:AC60"/>
    <mergeCell ref="C62:C63"/>
    <mergeCell ref="D62:AE63"/>
    <mergeCell ref="AF62:AN63"/>
    <mergeCell ref="C73:C75"/>
    <mergeCell ref="D73:AE75"/>
    <mergeCell ref="AF73:AN75"/>
    <mergeCell ref="C76:C78"/>
    <mergeCell ref="D76:AE78"/>
    <mergeCell ref="AF76:AN78"/>
    <mergeCell ref="C69:C70"/>
    <mergeCell ref="D69:AE70"/>
    <mergeCell ref="AF69:AN70"/>
    <mergeCell ref="C71:C72"/>
    <mergeCell ref="D71:AE72"/>
    <mergeCell ref="AF71:AN72"/>
    <mergeCell ref="B93:F93"/>
    <mergeCell ref="G93:L93"/>
    <mergeCell ref="M93:R93"/>
    <mergeCell ref="S93:X93"/>
    <mergeCell ref="Y93:AD93"/>
    <mergeCell ref="AE93:AJ93"/>
    <mergeCell ref="AK93:AP93"/>
    <mergeCell ref="B92:F92"/>
    <mergeCell ref="G92:L92"/>
    <mergeCell ref="M92:R92"/>
    <mergeCell ref="S92:X92"/>
    <mergeCell ref="Y92:AD92"/>
    <mergeCell ref="AE92:AJ92"/>
    <mergeCell ref="B91:F91"/>
    <mergeCell ref="G91:L91"/>
    <mergeCell ref="M91:R91"/>
    <mergeCell ref="S91:X91"/>
    <mergeCell ref="Y91:AD91"/>
    <mergeCell ref="AE91:AJ91"/>
    <mergeCell ref="AK91:AP91"/>
    <mergeCell ref="AK92:AP92"/>
    <mergeCell ref="C79:C81"/>
    <mergeCell ref="D79:AE81"/>
    <mergeCell ref="AF79:AN81"/>
    <mergeCell ref="Q83:X83"/>
    <mergeCell ref="O84:AA84"/>
    <mergeCell ref="B85:F90"/>
    <mergeCell ref="G85:L90"/>
    <mergeCell ref="M85:R90"/>
    <mergeCell ref="S85:X90"/>
    <mergeCell ref="Y85:AD90"/>
    <mergeCell ref="AE85:AJ90"/>
    <mergeCell ref="AK85:AP90"/>
    <mergeCell ref="AK94:AP94"/>
    <mergeCell ref="B95:F95"/>
    <mergeCell ref="G95:L95"/>
    <mergeCell ref="M95:R95"/>
    <mergeCell ref="S95:X95"/>
    <mergeCell ref="Y95:AD95"/>
    <mergeCell ref="AE95:AJ95"/>
    <mergeCell ref="AK95:AP95"/>
    <mergeCell ref="B94:F94"/>
    <mergeCell ref="G94:L94"/>
    <mergeCell ref="M94:R94"/>
    <mergeCell ref="S94:X94"/>
    <mergeCell ref="Y94:AD94"/>
    <mergeCell ref="AE94:AJ94"/>
    <mergeCell ref="B98:F98"/>
    <mergeCell ref="G98:L98"/>
    <mergeCell ref="M98:R98"/>
    <mergeCell ref="S98:X98"/>
    <mergeCell ref="Y98:AD98"/>
    <mergeCell ref="AE98:AJ98"/>
    <mergeCell ref="AK96:AP96"/>
    <mergeCell ref="B97:F97"/>
    <mergeCell ref="G97:L97"/>
    <mergeCell ref="M97:R97"/>
    <mergeCell ref="S97:X97"/>
    <mergeCell ref="Y97:AD97"/>
    <mergeCell ref="AE97:AJ97"/>
    <mergeCell ref="AK97:AP97"/>
    <mergeCell ref="B96:F96"/>
    <mergeCell ref="G96:L96"/>
    <mergeCell ref="M96:R96"/>
    <mergeCell ref="S96:X96"/>
    <mergeCell ref="Y96:AD96"/>
    <mergeCell ref="AE96:AJ96"/>
    <mergeCell ref="AK98:AP98"/>
    <mergeCell ref="G99:L99"/>
    <mergeCell ref="M99:R99"/>
    <mergeCell ref="S99:X99"/>
    <mergeCell ref="Y99:AD99"/>
    <mergeCell ref="B104:K104"/>
    <mergeCell ref="M104:Z104"/>
    <mergeCell ref="AB104:AM104"/>
    <mergeCell ref="AK101:AP101"/>
    <mergeCell ref="B102:F102"/>
    <mergeCell ref="G102:L102"/>
    <mergeCell ref="M102:R102"/>
    <mergeCell ref="S102:X102"/>
    <mergeCell ref="Y102:AD102"/>
    <mergeCell ref="AE102:AJ102"/>
    <mergeCell ref="AK102:AP102"/>
    <mergeCell ref="B101:F101"/>
    <mergeCell ref="G101:L101"/>
    <mergeCell ref="M101:R101"/>
    <mergeCell ref="S101:X101"/>
    <mergeCell ref="Y101:AD101"/>
    <mergeCell ref="AE101:AJ101"/>
    <mergeCell ref="AE99:AJ99"/>
    <mergeCell ref="AK99:AP99"/>
    <mergeCell ref="B99:F99"/>
  </mergeCells>
  <dataValidations count="1">
    <dataValidation type="list" allowBlank="1" showInputMessage="1" showErrorMessage="1" sqref="AE25:AL25" xr:uid="{404C1847-CA46-48DF-9B11-B5AC82011039}">
      <formula1>"Select,2025-2026,2024-2025,2023-2024,2022-2023,2021-2022,2020-2021, 2019-2020, 2018-2019, 2017-2018, 2016-2017, 2015-2016, 2014-2015, 2013-2014, 2012-2013, 2011-2012, 2010-2011, 2009-2010, 2008-2009, 2007-2008, 2006-2007"</formula1>
    </dataValidation>
  </dataValidations>
  <pageMargins left="0.59055118110236227" right="0" top="0.35433070866141736" bottom="0.35433070866141736" header="0" footer="0"/>
  <pageSetup paperSize="9" orientation="portrait" blackAndWhite="1" errors="blank" r:id="rId1"/>
  <headerFooter>
    <oddFooter>&amp;CPage &amp;P of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Basic Information</vt:lpstr>
      <vt:lpstr>Income Tax Proforma - Old Schem</vt:lpstr>
      <vt:lpstr>Form 10E - Old Scheme</vt:lpstr>
      <vt:lpstr>Income Tax Proforma - New Schem</vt:lpstr>
      <vt:lpstr>Form 10E - New Scheme</vt:lpstr>
      <vt:lpstr>'Basic Information'!Print_Area</vt:lpstr>
      <vt:lpstr>'Form 10E - New Scheme'!Print_Area</vt:lpstr>
      <vt:lpstr>'Form 10E - Old Scheme'!Print_Area</vt:lpstr>
      <vt:lpstr>'Income Tax Proforma - New Schem'!Print_Area</vt:lpstr>
      <vt:lpstr>'Income Tax Proforma - Old Schem'!Print_Area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2025-02-24T06:44:41Z</dcterms:modified>
</cp:coreProperties>
</file>